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955" tabRatio="746" activeTab="3"/>
  </bookViews>
  <sheets>
    <sheet name="Dashboard" sheetId="1" r:id="rId1"/>
    <sheet name="BS" sheetId="2" r:id="rId2"/>
    <sheet name="PL by Month" sheetId="3" r:id="rId3"/>
    <sheet name="Rolling 12" sheetId="4" r:id="rId4"/>
    <sheet name="CF" sheetId="5" r:id="rId5"/>
    <sheet name="R12 Graph" sheetId="6" r:id="rId6"/>
    <sheet name="NI vs CF" sheetId="7" r:id="rId7"/>
    <sheet name="LER Graph" sheetId="8" r:id="rId8"/>
    <sheet name="KPI" sheetId="9" r:id="rId9"/>
  </sheets>
  <definedNames/>
  <calcPr fullCalcOnLoad="1"/>
</workbook>
</file>

<file path=xl/sharedStrings.xml><?xml version="1.0" encoding="utf-8"?>
<sst xmlns="http://schemas.openxmlformats.org/spreadsheetml/2006/main" count="334" uniqueCount="216">
  <si>
    <t>Cost of Goods Sold</t>
  </si>
  <si>
    <t>Net Income</t>
  </si>
  <si>
    <t>ASSETS</t>
  </si>
  <si>
    <t>Other Assets</t>
  </si>
  <si>
    <t>Accounts Payable</t>
  </si>
  <si>
    <t>Other Current Liabilities</t>
  </si>
  <si>
    <t>Total Liabilities</t>
  </si>
  <si>
    <t>Balance Sheet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</si>
  <si>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</si>
  <si>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</si>
  <si>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</si>
  <si>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</si>
  <si>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</si>
  <si>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</si>
  <si>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</si>
  <si>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</si>
  <si>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</si>
  <si>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</si>
  <si>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</si>
  <si>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</si>
  <si>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</si>
  <si>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</si>
  <si>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</si>
  <si>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</si>
  <si>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</si>
  <si>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</si>
  <si>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</si>
  <si>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</si>
  <si>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Salary Cap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</si>
  <si>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</si>
  <si>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</si>
  <si>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</si>
  <si>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</si>
  <si>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</si>
  <si>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</si>
  <si>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</si>
  <si>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</si>
  <si>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</si>
  <si>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</si>
  <si>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</si>
  <si>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</si>
  <si>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</si>
  <si>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</si>
  <si>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</si>
  <si>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</si>
  <si>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Forecast</t>
  </si>
  <si>
    <t>Current Assets:</t>
  </si>
  <si>
    <t xml:space="preserve">        Total current assets</t>
  </si>
  <si>
    <t>Fixed Assets:</t>
  </si>
  <si>
    <t xml:space="preserve">         Net book value of fixed assets</t>
  </si>
  <si>
    <t>LIABILITIES AND SHAREHOLDERS' EQUITY</t>
  </si>
  <si>
    <t>Current liabilities:</t>
  </si>
  <si>
    <t xml:space="preserve">        Total current liabilities</t>
  </si>
  <si>
    <t>Long-term liabilities:</t>
  </si>
  <si>
    <t xml:space="preserve">   Notes Payable</t>
  </si>
  <si>
    <t xml:space="preserve">        Total long-term liabilities</t>
  </si>
  <si>
    <t>Capital</t>
  </si>
  <si>
    <t xml:space="preserve">   Retained earnings</t>
  </si>
  <si>
    <t xml:space="preserve">   Profit (loss) for period</t>
  </si>
  <si>
    <t xml:space="preserve">        Total Capital</t>
  </si>
  <si>
    <t>Total liabilities and shareholders' equity</t>
  </si>
  <si>
    <t>A/R DSO (Based on last 2 months sales)</t>
  </si>
  <si>
    <t>A/P as % of COGS for this month and next month</t>
  </si>
  <si>
    <t>Core Capital</t>
  </si>
  <si>
    <t>Core Capital target -Level 1 (1 month opex)</t>
  </si>
  <si>
    <t>Core Capital target -Level 2 (2 month opex)</t>
  </si>
  <si>
    <t>Cash Flows from Operations</t>
  </si>
  <si>
    <t>Add Back:</t>
  </si>
  <si>
    <t xml:space="preserve">  Depreciation</t>
  </si>
  <si>
    <t>Changes in:</t>
  </si>
  <si>
    <t>Net cash flows from operations</t>
  </si>
  <si>
    <t>Cash Flows from Investing</t>
  </si>
  <si>
    <t>Purchase of fixed assets</t>
  </si>
  <si>
    <t>Net cash flows before financing</t>
  </si>
  <si>
    <t>Cash flows from Financing</t>
  </si>
  <si>
    <t>Shareholder distributions</t>
  </si>
  <si>
    <t>Net cash flows from financing</t>
  </si>
  <si>
    <t>Net cash flows</t>
  </si>
  <si>
    <t>Beginning cash</t>
  </si>
  <si>
    <t>Ending cash</t>
  </si>
  <si>
    <t>Operating Expenses:</t>
  </si>
  <si>
    <t>Facilities</t>
  </si>
  <si>
    <t>Other operating expenses</t>
  </si>
  <si>
    <t>Total Operating Expenses</t>
  </si>
  <si>
    <t>Net Operating Income</t>
  </si>
  <si>
    <t>Other Income (Expense):</t>
  </si>
  <si>
    <t>Interest Expense</t>
  </si>
  <si>
    <t>Depreciation</t>
  </si>
  <si>
    <t>Total Other Income (Expense)</t>
  </si>
  <si>
    <t>By Month</t>
  </si>
  <si>
    <t>Pre-tax profit %</t>
  </si>
  <si>
    <t>Shareholder salary adjustment (+=underpayed)</t>
  </si>
  <si>
    <t>Non-Labor Gross Margin</t>
  </si>
  <si>
    <t>Total Wages</t>
  </si>
  <si>
    <t>Adjusted total wages</t>
  </si>
  <si>
    <t>(Over)/Under cap</t>
  </si>
  <si>
    <t>Labor efficiency (NLGM/Wages)</t>
  </si>
  <si>
    <t>Adjusted Labor efficiency (NLGM/Wages)</t>
  </si>
  <si>
    <t>Line of credit</t>
  </si>
  <si>
    <t>Marketing</t>
  </si>
  <si>
    <t>Shareholder salary adjustment (+=underpaid)</t>
  </si>
  <si>
    <t>2011-01</t>
  </si>
  <si>
    <t>2011-02</t>
  </si>
  <si>
    <t>2011-03</t>
  </si>
  <si>
    <t>2011-05</t>
  </si>
  <si>
    <t>2011-04</t>
  </si>
  <si>
    <t>2011-06</t>
  </si>
  <si>
    <t xml:space="preserve">   Cash</t>
  </si>
  <si>
    <t xml:space="preserve">   Accounts receivable</t>
  </si>
  <si>
    <t xml:space="preserve">   Common stock</t>
  </si>
  <si>
    <t>Notes payable</t>
  </si>
  <si>
    <t>Payroll Taxes &amp; Benefits</t>
  </si>
  <si>
    <t>Profit and Loss by Month</t>
  </si>
  <si>
    <t>For Management Discussion Only</t>
  </si>
  <si>
    <t>2011-07</t>
  </si>
  <si>
    <t>2011-08</t>
  </si>
  <si>
    <t>2011-09</t>
  </si>
  <si>
    <t>2011-10</t>
  </si>
  <si>
    <t>2011-11</t>
  </si>
  <si>
    <t>2011-12</t>
  </si>
  <si>
    <t xml:space="preserve">   Equipment</t>
  </si>
  <si>
    <t xml:space="preserve">   Accumulated Depreciation</t>
  </si>
  <si>
    <t xml:space="preserve">         Total Other Assets</t>
  </si>
  <si>
    <t>Total Assets</t>
  </si>
  <si>
    <t>Line of Credit</t>
  </si>
  <si>
    <t xml:space="preserve">   Distributions</t>
  </si>
  <si>
    <t>YTD Net Income</t>
  </si>
  <si>
    <t>Cash Flow</t>
  </si>
  <si>
    <t xml:space="preserve">  Accounts receivable</t>
  </si>
  <si>
    <t xml:space="preserve">  Other Assets</t>
  </si>
  <si>
    <t>Credit Card Payable</t>
  </si>
  <si>
    <t xml:space="preserve">  Accounts Payable</t>
  </si>
  <si>
    <t xml:space="preserve">  Credit Cards</t>
  </si>
  <si>
    <t xml:space="preserve">  Other Current Liabilities</t>
  </si>
  <si>
    <t xml:space="preserve">  Other Current Assets</t>
  </si>
  <si>
    <t xml:space="preserve">   Other Current Assets</t>
  </si>
  <si>
    <t>Rolling 12</t>
  </si>
  <si>
    <t>Revenue</t>
  </si>
  <si>
    <t>LOC Balance</t>
  </si>
  <si>
    <t>Base Cash Balance</t>
  </si>
  <si>
    <t>Cash Available to Be Paid on Line</t>
  </si>
  <si>
    <t>Cash Needed to be Drawn on Line</t>
  </si>
  <si>
    <t>Cash</t>
  </si>
  <si>
    <t>Grading Legend</t>
  </si>
  <si>
    <t>Great</t>
  </si>
  <si>
    <t>OK</t>
  </si>
  <si>
    <t>Caution</t>
  </si>
  <si>
    <t>R12</t>
  </si>
  <si>
    <t>Actual</t>
  </si>
  <si>
    <t>Profitability</t>
  </si>
  <si>
    <t>Sales</t>
  </si>
  <si>
    <t>Overhead</t>
  </si>
  <si>
    <t>A/R DSO</t>
  </si>
  <si>
    <t>Core Capital Target</t>
  </si>
  <si>
    <t>Commentary</t>
  </si>
  <si>
    <t>DashBoard</t>
  </si>
  <si>
    <t>Direct Labor</t>
  </si>
  <si>
    <t>Labor efficiency</t>
  </si>
  <si>
    <t>Direct LER</t>
  </si>
  <si>
    <t>Admin LER</t>
  </si>
  <si>
    <t>Total LER</t>
  </si>
  <si>
    <t>Net Income %</t>
  </si>
  <si>
    <t>Labor - Admin</t>
  </si>
  <si>
    <t>Admin LER to CM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</si>
  <si>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</si>
  <si>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</si>
  <si>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</si>
  <si>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</si>
  <si>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</si>
  <si>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</si>
  <si>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</si>
  <si>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</si>
  <si>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</si>
  <si>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</si>
  <si>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</si>
  <si>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</si>
  <si>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</si>
  <si>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</si>
  <si>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</si>
  <si>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</si>
  <si>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</si>
  <si>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</si>
  <si>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</si>
  <si>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</si>
  <si>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</si>
  <si>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</si>
  <si>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</si>
  <si>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</si>
  <si>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PY AR</t>
  </si>
  <si>
    <t>CY AR</t>
  </si>
  <si>
    <t>PY AP</t>
  </si>
  <si>
    <t>CY AP</t>
  </si>
  <si>
    <t>NI</t>
  </si>
  <si>
    <t>Cash Basis NI</t>
  </si>
  <si>
    <t>Rate</t>
  </si>
  <si>
    <t>Taxes</t>
  </si>
  <si>
    <t>As of 12/31/2011</t>
  </si>
  <si>
    <t>Salary Cap @ 10% pre-tax</t>
  </si>
  <si>
    <t>ABC Company</t>
  </si>
  <si>
    <t>Other Income (expense)</t>
  </si>
  <si>
    <t>Gross profit</t>
  </si>
  <si>
    <t>Contribution Margin</t>
  </si>
  <si>
    <t>As % of Revenue</t>
  </si>
  <si>
    <t>Marketing as % of Revenue</t>
  </si>
  <si>
    <t>PR Taxes &amp; Benefits as % All wages</t>
  </si>
  <si>
    <t>Other Operating Expenses as % of Revenue</t>
  </si>
  <si>
    <t>Contrubution Margin</t>
  </si>
  <si>
    <t>Admin Labor</t>
  </si>
  <si>
    <t>Good</t>
  </si>
  <si>
    <t>Operating Expenses</t>
  </si>
  <si>
    <t>10% has been sustained so now shoot for 15%</t>
  </si>
  <si>
    <t>Sales have declined as you pruned low value customers, now build back to target</t>
  </si>
  <si>
    <t>Expenses have stayed in range and no items appear out of line</t>
  </si>
  <si>
    <t>No aim for 15%</t>
  </si>
  <si>
    <t>A/R turnover looks good, don't let bad debts creep in.</t>
  </si>
  <si>
    <t>You are almost at 2 months, hold off on profit distributions until you hit 2 months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</si>
</sst>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0.0%"/>
    <numFmt numFmtId="166" formatCode="0.000%"/>
    <numFmt numFmtId="167" formatCode="0.0000%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u val="single"/>
      <sz val="12"/>
      <name val="Verdana"/>
      <family val="2"/>
    </font>
    <font>
      <sz val="10"/>
      <color indexed="9"/>
      <name val="Arial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ACA2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9" fontId="0" fillId="0" borderId="0" xfId="227" applyFont="1" applyAlignment="1">
      <alignment/>
    </xf>
    <xf numFmtId="43" fontId="0" fillId="0" borderId="0" xfId="96" applyFont="1" applyAlignment="1">
      <alignment/>
    </xf>
    <xf numFmtId="43" fontId="23" fillId="24" borderId="0" xfId="96" applyFont="1" applyFill="1" applyAlignment="1">
      <alignment horizontal="center"/>
    </xf>
    <xf numFmtId="43" fontId="19" fillId="22" borderId="0" xfId="96" applyFont="1" applyFill="1" applyAlignment="1">
      <alignment/>
    </xf>
    <xf numFmtId="43" fontId="20" fillId="22" borderId="0" xfId="96" applyFont="1" applyFill="1" applyAlignment="1">
      <alignment horizontal="left" indent="1"/>
    </xf>
    <xf numFmtId="43" fontId="0" fillId="0" borderId="10" xfId="96" applyFont="1" applyBorder="1" applyAlignment="1">
      <alignment/>
    </xf>
    <xf numFmtId="43" fontId="19" fillId="22" borderId="0" xfId="96" applyFont="1" applyFill="1" applyAlignment="1">
      <alignment horizontal="left" indent="2"/>
    </xf>
    <xf numFmtId="43" fontId="20" fillId="22" borderId="0" xfId="96" applyFont="1" applyFill="1" applyAlignment="1">
      <alignment/>
    </xf>
    <xf numFmtId="43" fontId="21" fillId="22" borderId="0" xfId="96" applyFont="1" applyFill="1" applyAlignment="1">
      <alignment horizontal="right"/>
    </xf>
    <xf numFmtId="43" fontId="22" fillId="0" borderId="0" xfId="96" applyFont="1" applyAlignment="1">
      <alignment/>
    </xf>
    <xf numFmtId="43" fontId="20" fillId="0" borderId="0" xfId="96" applyFont="1" applyAlignment="1">
      <alignment/>
    </xf>
    <xf numFmtId="43" fontId="0" fillId="25" borderId="0" xfId="96" applyFont="1" applyFill="1" applyAlignment="1">
      <alignment/>
    </xf>
    <xf numFmtId="43" fontId="1" fillId="0" borderId="0" xfId="96" applyFont="1" applyAlignment="1">
      <alignment/>
    </xf>
    <xf numFmtId="0" fontId="20" fillId="22" borderId="0" xfId="0" applyNumberFormat="1" applyFont="1" applyFill="1" applyBorder="1" applyAlignment="1">
      <alignment horizontal="left" indent="1"/>
    </xf>
    <xf numFmtId="43" fontId="0" fillId="0" borderId="0" xfId="0" applyNumberFormat="1" applyAlignment="1">
      <alignment/>
    </xf>
    <xf numFmtId="43" fontId="24" fillId="22" borderId="0" xfId="96" applyFont="1" applyFill="1" applyBorder="1" applyAlignment="1">
      <alignment horizontal="center"/>
    </xf>
    <xf numFmtId="43" fontId="19" fillId="22" borderId="0" xfId="96" applyFont="1" applyFill="1" applyBorder="1" applyAlignment="1">
      <alignment/>
    </xf>
    <xf numFmtId="43" fontId="20" fillId="22" borderId="0" xfId="96" applyFont="1" applyFill="1" applyBorder="1" applyAlignment="1">
      <alignment/>
    </xf>
    <xf numFmtId="43" fontId="20" fillId="22" borderId="0" xfId="96" applyFont="1" applyFill="1" applyBorder="1" applyAlignment="1">
      <alignment horizontal="left"/>
    </xf>
    <xf numFmtId="43" fontId="20" fillId="22" borderId="10" xfId="96" applyFont="1" applyFill="1" applyBorder="1" applyAlignment="1">
      <alignment/>
    </xf>
    <xf numFmtId="43" fontId="20" fillId="22" borderId="0" xfId="96" applyFont="1" applyFill="1" applyBorder="1" applyAlignment="1">
      <alignment horizontal="left" indent="1"/>
    </xf>
    <xf numFmtId="43" fontId="20" fillId="0" borderId="0" xfId="96" applyFont="1" applyBorder="1" applyAlignment="1">
      <alignment horizontal="center"/>
    </xf>
    <xf numFmtId="43" fontId="0" fillId="0" borderId="0" xfId="96" applyFont="1" applyFill="1" applyAlignment="1">
      <alignment/>
    </xf>
    <xf numFmtId="43" fontId="0" fillId="0" borderId="10" xfId="96" applyFont="1" applyFill="1" applyBorder="1" applyAlignment="1">
      <alignment/>
    </xf>
    <xf numFmtId="9" fontId="0" fillId="0" borderId="0" xfId="227" applyFont="1" applyFill="1" applyAlignment="1">
      <alignment/>
    </xf>
    <xf numFmtId="43" fontId="0" fillId="0" borderId="0" xfId="96" applyFont="1" applyFill="1" applyAlignment="1">
      <alignment/>
    </xf>
    <xf numFmtId="43" fontId="0" fillId="0" borderId="0" xfId="96" applyFont="1" applyAlignment="1">
      <alignment/>
    </xf>
    <xf numFmtId="43" fontId="0" fillId="0" borderId="0" xfId="96" applyFont="1" applyFill="1" applyAlignment="1">
      <alignment horizontal="center"/>
    </xf>
    <xf numFmtId="43" fontId="19" fillId="22" borderId="0" xfId="96" applyFont="1" applyFill="1" applyBorder="1" applyAlignment="1">
      <alignment horizontal="right"/>
    </xf>
    <xf numFmtId="43" fontId="0" fillId="22" borderId="0" xfId="96" applyFont="1" applyFill="1" applyAlignment="1">
      <alignment/>
    </xf>
    <xf numFmtId="43" fontId="0" fillId="14" borderId="0" xfId="96" applyFont="1" applyFill="1" applyAlignment="1">
      <alignment/>
    </xf>
    <xf numFmtId="43" fontId="0" fillId="14" borderId="0" xfId="96" applyFont="1" applyFill="1" applyAlignment="1">
      <alignment/>
    </xf>
    <xf numFmtId="165" fontId="0" fillId="0" borderId="0" xfId="227" applyNumberFormat="1" applyFont="1" applyAlignment="1">
      <alignment/>
    </xf>
    <xf numFmtId="43" fontId="0" fillId="0" borderId="11" xfId="96" applyFont="1" applyBorder="1" applyAlignment="1">
      <alignment/>
    </xf>
    <xf numFmtId="43" fontId="0" fillId="0" borderId="11" xfId="96" applyFont="1" applyFill="1" applyBorder="1" applyAlignment="1">
      <alignment/>
    </xf>
    <xf numFmtId="49" fontId="26" fillId="0" borderId="0" xfId="215" applyNumberFormat="1" applyFont="1" applyAlignment="1">
      <alignment horizontal="left"/>
      <protection/>
    </xf>
    <xf numFmtId="0" fontId="0" fillId="0" borderId="0" xfId="214">
      <alignment/>
      <protection/>
    </xf>
    <xf numFmtId="0" fontId="18" fillId="0" borderId="0" xfId="214" applyFont="1">
      <alignment/>
      <protection/>
    </xf>
    <xf numFmtId="0" fontId="18" fillId="10" borderId="12" xfId="214" applyFont="1" applyFill="1" applyBorder="1" applyAlignment="1">
      <alignment horizontal="center"/>
      <protection/>
    </xf>
    <xf numFmtId="0" fontId="18" fillId="25" borderId="12" xfId="214" applyFont="1" applyFill="1" applyBorder="1" applyAlignment="1">
      <alignment horizontal="center"/>
      <protection/>
    </xf>
    <xf numFmtId="0" fontId="18" fillId="17" borderId="12" xfId="214" applyFont="1" applyFill="1" applyBorder="1" applyAlignment="1">
      <alignment horizontal="center"/>
      <protection/>
    </xf>
    <xf numFmtId="0" fontId="1" fillId="0" borderId="0" xfId="215">
      <alignment/>
      <protection/>
    </xf>
    <xf numFmtId="0" fontId="18" fillId="0" borderId="0" xfId="214" applyFont="1" applyFill="1" applyBorder="1" applyAlignment="1">
      <alignment horizontal="center"/>
      <protection/>
    </xf>
    <xf numFmtId="0" fontId="18" fillId="0" borderId="0" xfId="214" applyFont="1" applyAlignment="1">
      <alignment horizontal="center"/>
      <protection/>
    </xf>
    <xf numFmtId="43" fontId="18" fillId="0" borderId="0" xfId="96" applyFont="1" applyBorder="1" applyAlignment="1">
      <alignment horizontal="center"/>
    </xf>
    <xf numFmtId="0" fontId="18" fillId="0" borderId="13" xfId="214" applyFont="1" applyBorder="1">
      <alignment/>
      <protection/>
    </xf>
    <xf numFmtId="10" fontId="0" fillId="0" borderId="0" xfId="96" applyNumberFormat="1" applyFont="1" applyBorder="1" applyAlignment="1">
      <alignment/>
    </xf>
    <xf numFmtId="44" fontId="0" fillId="0" borderId="0" xfId="109" applyFont="1" applyBorder="1" applyAlignment="1">
      <alignment/>
    </xf>
    <xf numFmtId="44" fontId="0" fillId="0" borderId="0" xfId="109" applyFont="1" applyFill="1" applyBorder="1" applyAlignment="1">
      <alignment/>
    </xf>
    <xf numFmtId="43" fontId="0" fillId="0" borderId="0" xfId="96" applyFont="1" applyBorder="1" applyAlignment="1">
      <alignment/>
    </xf>
    <xf numFmtId="43" fontId="0" fillId="0" borderId="0" xfId="214" applyNumberFormat="1" applyBorder="1">
      <alignment/>
      <protection/>
    </xf>
    <xf numFmtId="0" fontId="18" fillId="0" borderId="0" xfId="214" applyFont="1" applyBorder="1">
      <alignment/>
      <protection/>
    </xf>
    <xf numFmtId="0" fontId="0" fillId="0" borderId="0" xfId="214" applyBorder="1">
      <alignment/>
      <protection/>
    </xf>
    <xf numFmtId="0" fontId="0" fillId="0" borderId="0" xfId="214" applyFont="1">
      <alignment/>
      <protection/>
    </xf>
    <xf numFmtId="43" fontId="0" fillId="0" borderId="0" xfId="96" applyFont="1" applyBorder="1" applyAlignment="1">
      <alignment/>
    </xf>
    <xf numFmtId="43" fontId="20" fillId="0" borderId="0" xfId="96" applyFont="1" applyFill="1" applyBorder="1" applyAlignment="1">
      <alignment/>
    </xf>
    <xf numFmtId="0" fontId="20" fillId="0" borderId="0" xfId="0" applyFont="1" applyBorder="1" applyAlignment="1">
      <alignment/>
    </xf>
    <xf numFmtId="10" fontId="0" fillId="0" borderId="0" xfId="227" applyNumberFormat="1" applyFont="1" applyBorder="1" applyAlignment="1">
      <alignment/>
    </xf>
    <xf numFmtId="43" fontId="0" fillId="0" borderId="0" xfId="227" applyNumberFormat="1" applyFont="1" applyBorder="1" applyAlignment="1">
      <alignment/>
    </xf>
    <xf numFmtId="0" fontId="0" fillId="0" borderId="0" xfId="214" applyFont="1">
      <alignment/>
      <protection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214" applyFont="1" applyFill="1" applyBorder="1">
      <alignment/>
      <protection/>
    </xf>
    <xf numFmtId="43" fontId="18" fillId="0" borderId="0" xfId="214" applyNumberFormat="1" applyFont="1" applyAlignment="1">
      <alignment horizontal="left"/>
      <protection/>
    </xf>
    <xf numFmtId="10" fontId="0" fillId="0" borderId="0" xfId="214" applyNumberFormat="1" applyBorder="1">
      <alignment/>
      <protection/>
    </xf>
    <xf numFmtId="0" fontId="18" fillId="0" borderId="0" xfId="214" applyFont="1">
      <alignment/>
      <protection/>
    </xf>
    <xf numFmtId="49" fontId="0" fillId="0" borderId="0" xfId="96" applyNumberFormat="1" applyFont="1" applyAlignment="1">
      <alignment/>
    </xf>
    <xf numFmtId="43" fontId="19" fillId="22" borderId="0" xfId="96" applyFont="1" applyFill="1" applyAlignment="1">
      <alignment horizontal="left" vertical="top" indent="1"/>
    </xf>
    <xf numFmtId="43" fontId="19" fillId="22" borderId="0" xfId="96" applyFont="1" applyFill="1" applyAlignment="1">
      <alignment horizontal="left"/>
    </xf>
    <xf numFmtId="10" fontId="0" fillId="0" borderId="0" xfId="227" applyNumberFormat="1" applyFont="1" applyAlignment="1">
      <alignment/>
    </xf>
    <xf numFmtId="10" fontId="28" fillId="0" borderId="0" xfId="227" applyNumberFormat="1" applyFont="1" applyAlignment="1">
      <alignment/>
    </xf>
    <xf numFmtId="43" fontId="28" fillId="0" borderId="0" xfId="96" applyFont="1" applyAlignment="1">
      <alignment/>
    </xf>
    <xf numFmtId="43" fontId="0" fillId="0" borderId="14" xfId="96" applyFont="1" applyBorder="1" applyAlignment="1">
      <alignment/>
    </xf>
    <xf numFmtId="43" fontId="21" fillId="22" borderId="0" xfId="96" applyFont="1" applyFill="1" applyAlignment="1">
      <alignment horizontal="right" indent="1"/>
    </xf>
    <xf numFmtId="43" fontId="28" fillId="0" borderId="0" xfId="227" applyNumberFormat="1" applyFont="1" applyAlignment="1">
      <alignment/>
    </xf>
    <xf numFmtId="43" fontId="21" fillId="22" borderId="0" xfId="96" applyFont="1" applyFill="1" applyAlignment="1">
      <alignment horizontal="right" vertical="top"/>
    </xf>
    <xf numFmtId="2" fontId="28" fillId="0" borderId="0" xfId="227" applyNumberFormat="1" applyFont="1" applyAlignment="1">
      <alignment/>
    </xf>
    <xf numFmtId="43" fontId="28" fillId="0" borderId="0" xfId="96" applyFont="1" applyFill="1" applyAlignment="1">
      <alignment/>
    </xf>
    <xf numFmtId="43" fontId="23" fillId="0" borderId="0" xfId="96" applyFont="1" applyFill="1" applyAlignment="1">
      <alignment horizontal="center"/>
    </xf>
    <xf numFmtId="10" fontId="28" fillId="0" borderId="0" xfId="227" applyNumberFormat="1" applyFont="1" applyBorder="1" applyAlignment="1">
      <alignment/>
    </xf>
    <xf numFmtId="43" fontId="28" fillId="0" borderId="0" xfId="96" applyFont="1" applyBorder="1" applyAlignment="1">
      <alignment/>
    </xf>
    <xf numFmtId="43" fontId="0" fillId="0" borderId="15" xfId="227" applyNumberFormat="1" applyFont="1" applyBorder="1" applyAlignment="1">
      <alignment/>
    </xf>
    <xf numFmtId="10" fontId="28" fillId="26" borderId="0" xfId="227" applyNumberFormat="1" applyFont="1" applyFill="1" applyAlignment="1">
      <alignment/>
    </xf>
    <xf numFmtId="165" fontId="0" fillId="26" borderId="0" xfId="227" applyNumberFormat="1" applyFont="1" applyFill="1" applyAlignment="1">
      <alignment/>
    </xf>
    <xf numFmtId="43" fontId="28" fillId="26" borderId="0" xfId="227" applyNumberFormat="1" applyFont="1" applyFill="1" applyAlignment="1">
      <alignment/>
    </xf>
    <xf numFmtId="10" fontId="0" fillId="26" borderId="0" xfId="96" applyNumberFormat="1" applyFont="1" applyFill="1" applyAlignment="1">
      <alignment/>
    </xf>
    <xf numFmtId="43" fontId="0" fillId="26" borderId="0" xfId="96" applyFont="1" applyFill="1" applyAlignment="1">
      <alignment/>
    </xf>
    <xf numFmtId="43" fontId="0" fillId="26" borderId="10" xfId="96" applyFont="1" applyFill="1" applyBorder="1" applyAlignment="1">
      <alignment/>
    </xf>
    <xf numFmtId="43" fontId="20" fillId="0" borderId="0" xfId="96" applyFont="1" applyFill="1" applyAlignment="1">
      <alignment/>
    </xf>
    <xf numFmtId="2" fontId="28" fillId="26" borderId="0" xfId="227" applyNumberFormat="1" applyFont="1" applyFill="1" applyAlignment="1">
      <alignment/>
    </xf>
    <xf numFmtId="9" fontId="0" fillId="26" borderId="0" xfId="227" applyFont="1" applyFill="1" applyAlignment="1">
      <alignment/>
    </xf>
    <xf numFmtId="0" fontId="18" fillId="27" borderId="12" xfId="214" applyFont="1" applyFill="1" applyBorder="1" applyAlignment="1">
      <alignment horizontal="center"/>
      <protection/>
    </xf>
    <xf numFmtId="0" fontId="18" fillId="0" borderId="13" xfId="214" applyFont="1" applyBorder="1">
      <alignment/>
      <protection/>
    </xf>
  </cellXfs>
  <cellStyles count="23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2 2 2" xfId="100"/>
    <cellStyle name="Comma 2 3" xfId="101"/>
    <cellStyle name="Comma 2 3 2" xfId="102"/>
    <cellStyle name="Comma 3" xfId="103"/>
    <cellStyle name="Comma 3 2" xfId="104"/>
    <cellStyle name="Comma 3 3" xfId="105"/>
    <cellStyle name="Comma 4" xfId="106"/>
    <cellStyle name="Comma 4 2" xfId="107"/>
    <cellStyle name="Comma 5" xfId="108"/>
    <cellStyle name="Currency" xfId="109"/>
    <cellStyle name="Currency [0]" xfId="110"/>
    <cellStyle name="Currency 2" xfId="111"/>
    <cellStyle name="Currency 2 2" xfId="112"/>
    <cellStyle name="Currency 2 2 2" xfId="113"/>
    <cellStyle name="Currency 2 3" xfId="114"/>
    <cellStyle name="Currency 3" xfId="115"/>
    <cellStyle name="Currency 3 2" xfId="116"/>
    <cellStyle name="Currency 3 3" xfId="117"/>
    <cellStyle name="Currency 4" xfId="118"/>
    <cellStyle name="Explanatory Text" xfId="119"/>
    <cellStyle name="Explanatory Text 2" xfId="120"/>
    <cellStyle name="Explanatory Text 3" xfId="121"/>
    <cellStyle name="Good" xfId="122"/>
    <cellStyle name="Good 2" xfId="123"/>
    <cellStyle name="Good 3" xfId="124"/>
    <cellStyle name="Heading 1" xfId="125"/>
    <cellStyle name="Heading 1 2" xfId="126"/>
    <cellStyle name="Heading 1 3" xfId="127"/>
    <cellStyle name="Heading 2" xfId="128"/>
    <cellStyle name="Heading 2 2" xfId="129"/>
    <cellStyle name="Heading 2 3" xfId="130"/>
    <cellStyle name="Heading 3" xfId="131"/>
    <cellStyle name="Heading 3 2" xfId="132"/>
    <cellStyle name="Heading 3 3" xfId="133"/>
    <cellStyle name="Heading 4" xfId="134"/>
    <cellStyle name="Heading 4 2" xfId="135"/>
    <cellStyle name="Heading 4 3" xfId="136"/>
    <cellStyle name="Input" xfId="137"/>
    <cellStyle name="Input 2" xfId="138"/>
    <cellStyle name="Input 3" xfId="139"/>
    <cellStyle name="Linked Cell" xfId="140"/>
    <cellStyle name="Linked Cell 2" xfId="141"/>
    <cellStyle name="Linked Cell 3" xfId="142"/>
    <cellStyle name="Neutral" xfId="143"/>
    <cellStyle name="Neutral 2" xfId="144"/>
    <cellStyle name="Neutral 3" xfId="145"/>
    <cellStyle name="Normal 10" xfId="146"/>
    <cellStyle name="Normal 11" xfId="147"/>
    <cellStyle name="Normal 12" xfId="148"/>
    <cellStyle name="Normal 13" xfId="149"/>
    <cellStyle name="Normal 14" xfId="150"/>
    <cellStyle name="Normal 15" xfId="151"/>
    <cellStyle name="Normal 16" xfId="152"/>
    <cellStyle name="Normal 17" xfId="153"/>
    <cellStyle name="Normal 18" xfId="154"/>
    <cellStyle name="Normal 19" xfId="155"/>
    <cellStyle name="Normal 2" xfId="156"/>
    <cellStyle name="Normal 2 2" xfId="157"/>
    <cellStyle name="Normal 20" xfId="158"/>
    <cellStyle name="Normal 21" xfId="159"/>
    <cellStyle name="Normal 22" xfId="160"/>
    <cellStyle name="Normal 23" xfId="161"/>
    <cellStyle name="Normal 24" xfId="162"/>
    <cellStyle name="Normal 25" xfId="163"/>
    <cellStyle name="Normal 26" xfId="164"/>
    <cellStyle name="Normal 27" xfId="165"/>
    <cellStyle name="Normal 28" xfId="166"/>
    <cellStyle name="Normal 29" xfId="167"/>
    <cellStyle name="Normal 3" xfId="168"/>
    <cellStyle name="Normal 3 2" xfId="169"/>
    <cellStyle name="Normal 3 3" xfId="170"/>
    <cellStyle name="Normal 3_Dashboard" xfId="171"/>
    <cellStyle name="Normal 30" xfId="172"/>
    <cellStyle name="Normal 31" xfId="173"/>
    <cellStyle name="Normal 31 2" xfId="174"/>
    <cellStyle name="Normal 31 3" xfId="175"/>
    <cellStyle name="Normal 32" xfId="176"/>
    <cellStyle name="Normal 32 2" xfId="177"/>
    <cellStyle name="Normal 33" xfId="178"/>
    <cellStyle name="Normal 33 2" xfId="179"/>
    <cellStyle name="Normal 34" xfId="180"/>
    <cellStyle name="Normal 34 2" xfId="181"/>
    <cellStyle name="Normal 35" xfId="182"/>
    <cellStyle name="Normal 35 2" xfId="183"/>
    <cellStyle name="Normal 36" xfId="184"/>
    <cellStyle name="Normal 36 2" xfId="185"/>
    <cellStyle name="Normal 37" xfId="186"/>
    <cellStyle name="Normal 37 2" xfId="187"/>
    <cellStyle name="Normal 38" xfId="188"/>
    <cellStyle name="Normal 38 2" xfId="189"/>
    <cellStyle name="Normal 39" xfId="190"/>
    <cellStyle name="Normal 39 2" xfId="191"/>
    <cellStyle name="Normal 4" xfId="192"/>
    <cellStyle name="Normal 40" xfId="193"/>
    <cellStyle name="Normal 40 2" xfId="194"/>
    <cellStyle name="Normal 41" xfId="195"/>
    <cellStyle name="Normal 41 2" xfId="196"/>
    <cellStyle name="Normal 42" xfId="197"/>
    <cellStyle name="Normal 42 2" xfId="198"/>
    <cellStyle name="Normal 43" xfId="199"/>
    <cellStyle name="Normal 43 2" xfId="200"/>
    <cellStyle name="Normal 44" xfId="201"/>
    <cellStyle name="Normal 45" xfId="202"/>
    <cellStyle name="Normal 46" xfId="203"/>
    <cellStyle name="Normal 47" xfId="204"/>
    <cellStyle name="Normal 48" xfId="205"/>
    <cellStyle name="Normal 49" xfId="206"/>
    <cellStyle name="Normal 5" xfId="207"/>
    <cellStyle name="Normal 50" xfId="208"/>
    <cellStyle name="Normal 51" xfId="209"/>
    <cellStyle name="Normal 6" xfId="210"/>
    <cellStyle name="Normal 7" xfId="211"/>
    <cellStyle name="Normal 8" xfId="212"/>
    <cellStyle name="Normal 9" xfId="213"/>
    <cellStyle name="Normal_033107 Dashboard DeVivo" xfId="214"/>
    <cellStyle name="Normal_Dashboard" xfId="215"/>
    <cellStyle name="Note" xfId="216"/>
    <cellStyle name="Note 2" xfId="217"/>
    <cellStyle name="Note 2 2" xfId="218"/>
    <cellStyle name="Note 2 2 2" xfId="219"/>
    <cellStyle name="Note 2 3" xfId="220"/>
    <cellStyle name="Note 3" xfId="221"/>
    <cellStyle name="Note 3 2" xfId="222"/>
    <cellStyle name="Note 4" xfId="223"/>
    <cellStyle name="Output" xfId="224"/>
    <cellStyle name="Output 2" xfId="225"/>
    <cellStyle name="Output 3" xfId="226"/>
    <cellStyle name="Percent" xfId="227"/>
    <cellStyle name="Percent 2" xfId="228"/>
    <cellStyle name="Percent 2 2" xfId="229"/>
    <cellStyle name="Percent 2 2 2" xfId="230"/>
    <cellStyle name="Percent 2 3" xfId="231"/>
    <cellStyle name="Percent 2 3 2" xfId="232"/>
    <cellStyle name="Percent 3" xfId="233"/>
    <cellStyle name="Percent 3 2" xfId="234"/>
    <cellStyle name="Percent 3 3" xfId="235"/>
    <cellStyle name="Percent 4" xfId="236"/>
    <cellStyle name="Percent 4 2" xfId="237"/>
    <cellStyle name="Percent 5" xfId="238"/>
    <cellStyle name="Title" xfId="239"/>
    <cellStyle name="Title 2" xfId="240"/>
    <cellStyle name="Title 3" xfId="241"/>
    <cellStyle name="Total" xfId="242"/>
    <cellStyle name="Total 2" xfId="243"/>
    <cellStyle name="Total 3" xfId="244"/>
    <cellStyle name="Warning Text" xfId="245"/>
    <cellStyle name="Warning Text 2" xfId="246"/>
    <cellStyle name="Warning Text 3" xfId="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25"/>
          <c:w val="0.80525"/>
          <c:h val="0.97775"/>
        </c:manualLayout>
      </c:layout>
      <c:lineChart>
        <c:grouping val="standard"/>
        <c:varyColors val="0"/>
        <c:ser>
          <c:idx val="0"/>
          <c:order val="0"/>
          <c:tx>
            <c:strRef>
              <c:f>KPI!$A$3</c:f>
              <c:strCache>
                <c:ptCount val="1"/>
                <c:pt idx="0">
                  <c:v>Revenue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KPI!$B$2:$AX$2</c:f>
              <c:strCache>
                <c:ptCount val="49"/>
                <c:pt idx="0">
                  <c:v>2008-12</c:v>
                </c:pt>
                <c:pt idx="1">
                  <c:v>2009-01</c:v>
                </c:pt>
                <c:pt idx="2">
                  <c:v>2009-02</c:v>
                </c:pt>
                <c:pt idx="3">
                  <c:v>2009-03</c:v>
                </c:pt>
                <c:pt idx="4">
                  <c:v>2009-04</c:v>
                </c:pt>
                <c:pt idx="5">
                  <c:v>2009-05</c:v>
                </c:pt>
                <c:pt idx="6">
                  <c:v>2009-06</c:v>
                </c:pt>
                <c:pt idx="7">
                  <c:v>2009-07</c:v>
                </c:pt>
                <c:pt idx="8">
                  <c:v>2009-08</c:v>
                </c:pt>
                <c:pt idx="9">
                  <c:v>2009-09</c:v>
                </c:pt>
                <c:pt idx="10">
                  <c:v>2009-10</c:v>
                </c:pt>
                <c:pt idx="11">
                  <c:v>2009-11</c:v>
                </c:pt>
                <c:pt idx="12">
                  <c:v>2009-12</c:v>
                </c:pt>
                <c:pt idx="13">
                  <c:v>2010-01</c:v>
                </c:pt>
                <c:pt idx="14">
                  <c:v>2010-02</c:v>
                </c:pt>
                <c:pt idx="15">
                  <c:v>2010-03</c:v>
                </c:pt>
                <c:pt idx="16">
                  <c:v>2010-04</c:v>
                </c:pt>
                <c:pt idx="17">
                  <c:v>2010-05</c:v>
                </c:pt>
                <c:pt idx="18">
                  <c:v>2010-06</c:v>
                </c:pt>
                <c:pt idx="19">
                  <c:v>2010-07</c:v>
                </c:pt>
                <c:pt idx="20">
                  <c:v>2010-08</c:v>
                </c:pt>
                <c:pt idx="21">
                  <c:v>2010-09</c:v>
                </c:pt>
                <c:pt idx="22">
                  <c:v>2010-10</c:v>
                </c:pt>
                <c:pt idx="23">
                  <c:v>2010-11</c:v>
                </c:pt>
                <c:pt idx="24">
                  <c:v>2010-12</c:v>
                </c:pt>
                <c:pt idx="25">
                  <c:v>2011-01</c:v>
                </c:pt>
                <c:pt idx="26">
                  <c:v>2011-02</c:v>
                </c:pt>
                <c:pt idx="27">
                  <c:v>2011-03</c:v>
                </c:pt>
                <c:pt idx="28">
                  <c:v>2011-04</c:v>
                </c:pt>
                <c:pt idx="29">
                  <c:v>2011-05</c:v>
                </c:pt>
                <c:pt idx="30">
                  <c:v>2011-06</c:v>
                </c:pt>
                <c:pt idx="31">
                  <c:v>2011-07</c:v>
                </c:pt>
                <c:pt idx="32">
                  <c:v>2011-08</c:v>
                </c:pt>
                <c:pt idx="33">
                  <c:v>2011-09</c:v>
                </c:pt>
                <c:pt idx="34">
                  <c:v>2011-10</c:v>
                </c:pt>
                <c:pt idx="35">
                  <c:v>2011-11</c:v>
                </c:pt>
                <c:pt idx="36">
                  <c:v>2011-12</c:v>
                </c:pt>
                <c:pt idx="37">
                  <c:v>2012-01</c:v>
                </c:pt>
                <c:pt idx="38">
                  <c:v>2012-02</c:v>
                </c:pt>
                <c:pt idx="39">
                  <c:v>2012-03</c:v>
                </c:pt>
                <c:pt idx="40">
                  <c:v>2012-04</c:v>
                </c:pt>
                <c:pt idx="41">
                  <c:v>2012-05</c:v>
                </c:pt>
                <c:pt idx="42">
                  <c:v>2012-06</c:v>
                </c:pt>
                <c:pt idx="43">
                  <c:v>2012-07</c:v>
                </c:pt>
                <c:pt idx="44">
                  <c:v>2012-08</c:v>
                </c:pt>
                <c:pt idx="45">
                  <c:v>2012-09</c:v>
                </c:pt>
                <c:pt idx="46">
                  <c:v>2012-10</c:v>
                </c:pt>
                <c:pt idx="47">
                  <c:v>2012-11</c:v>
                </c:pt>
                <c:pt idx="48">
                  <c:v>2012-12</c:v>
                </c:pt>
              </c:strCache>
            </c:strRef>
          </c:cat>
          <c:val>
            <c:numRef>
              <c:f>KPI!$B$3:$AX$3</c:f>
              <c:numCache>
                <c:ptCount val="49"/>
                <c:pt idx="0">
                  <c:v>2514000</c:v>
                </c:pt>
                <c:pt idx="1">
                  <c:v>2580000</c:v>
                </c:pt>
                <c:pt idx="2">
                  <c:v>2563000</c:v>
                </c:pt>
                <c:pt idx="3">
                  <c:v>2640000</c:v>
                </c:pt>
                <c:pt idx="4">
                  <c:v>2693000</c:v>
                </c:pt>
                <c:pt idx="5">
                  <c:v>2734000</c:v>
                </c:pt>
                <c:pt idx="6">
                  <c:v>2942000</c:v>
                </c:pt>
                <c:pt idx="7">
                  <c:v>2840000</c:v>
                </c:pt>
                <c:pt idx="8">
                  <c:v>2912000</c:v>
                </c:pt>
                <c:pt idx="9">
                  <c:v>2817000</c:v>
                </c:pt>
                <c:pt idx="10">
                  <c:v>2825000</c:v>
                </c:pt>
                <c:pt idx="11">
                  <c:v>2879000</c:v>
                </c:pt>
                <c:pt idx="12">
                  <c:v>2793000</c:v>
                </c:pt>
                <c:pt idx="13">
                  <c:v>3127000</c:v>
                </c:pt>
                <c:pt idx="14">
                  <c:v>3179000</c:v>
                </c:pt>
                <c:pt idx="15">
                  <c:v>3102000</c:v>
                </c:pt>
                <c:pt idx="16">
                  <c:v>3207000</c:v>
                </c:pt>
                <c:pt idx="17">
                  <c:v>3232000</c:v>
                </c:pt>
                <c:pt idx="18">
                  <c:v>3219000</c:v>
                </c:pt>
                <c:pt idx="19">
                  <c:v>3234000</c:v>
                </c:pt>
                <c:pt idx="20">
                  <c:v>3278000</c:v>
                </c:pt>
                <c:pt idx="21">
                  <c:v>3207000</c:v>
                </c:pt>
                <c:pt idx="22">
                  <c:v>3269000</c:v>
                </c:pt>
                <c:pt idx="23">
                  <c:v>3310000</c:v>
                </c:pt>
                <c:pt idx="24">
                  <c:v>3223000</c:v>
                </c:pt>
                <c:pt idx="25">
                  <c:v>2903000</c:v>
                </c:pt>
                <c:pt idx="26">
                  <c:v>2856000</c:v>
                </c:pt>
                <c:pt idx="27">
                  <c:v>2895000</c:v>
                </c:pt>
                <c:pt idx="28">
                  <c:v>2859000</c:v>
                </c:pt>
                <c:pt idx="29">
                  <c:v>2799000</c:v>
                </c:pt>
                <c:pt idx="30">
                  <c:v>2747000</c:v>
                </c:pt>
                <c:pt idx="31">
                  <c:v>2722000</c:v>
                </c:pt>
                <c:pt idx="32">
                  <c:v>2832000</c:v>
                </c:pt>
                <c:pt idx="33">
                  <c:v>2880000</c:v>
                </c:pt>
                <c:pt idx="34">
                  <c:v>2794000</c:v>
                </c:pt>
                <c:pt idx="35">
                  <c:v>2770000</c:v>
                </c:pt>
                <c:pt idx="36">
                  <c:v>2803000</c:v>
                </c:pt>
                <c:pt idx="37">
                  <c:v>2826000</c:v>
                </c:pt>
                <c:pt idx="38">
                  <c:v>2837400</c:v>
                </c:pt>
                <c:pt idx="39">
                  <c:v>2847100</c:v>
                </c:pt>
                <c:pt idx="40">
                  <c:v>2875100</c:v>
                </c:pt>
                <c:pt idx="41">
                  <c:v>2901900</c:v>
                </c:pt>
                <c:pt idx="42">
                  <c:v>2934100</c:v>
                </c:pt>
                <c:pt idx="43">
                  <c:v>2960700</c:v>
                </c:pt>
                <c:pt idx="44">
                  <c:v>3001800</c:v>
                </c:pt>
                <c:pt idx="45">
                  <c:v>3023500</c:v>
                </c:pt>
                <c:pt idx="46">
                  <c:v>3049300</c:v>
                </c:pt>
                <c:pt idx="47">
                  <c:v>3068700</c:v>
                </c:pt>
                <c:pt idx="48">
                  <c:v>3083300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KPI!$A$4</c:f>
              <c:strCache>
                <c:ptCount val="1"/>
                <c:pt idx="0">
                  <c:v>Contrubution Margin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KPI!$B$2:$AX$2</c:f>
              <c:strCache>
                <c:ptCount val="49"/>
                <c:pt idx="0">
                  <c:v>2008-12</c:v>
                </c:pt>
                <c:pt idx="1">
                  <c:v>2009-01</c:v>
                </c:pt>
                <c:pt idx="2">
                  <c:v>2009-02</c:v>
                </c:pt>
                <c:pt idx="3">
                  <c:v>2009-03</c:v>
                </c:pt>
                <c:pt idx="4">
                  <c:v>2009-04</c:v>
                </c:pt>
                <c:pt idx="5">
                  <c:v>2009-05</c:v>
                </c:pt>
                <c:pt idx="6">
                  <c:v>2009-06</c:v>
                </c:pt>
                <c:pt idx="7">
                  <c:v>2009-07</c:v>
                </c:pt>
                <c:pt idx="8">
                  <c:v>2009-08</c:v>
                </c:pt>
                <c:pt idx="9">
                  <c:v>2009-09</c:v>
                </c:pt>
                <c:pt idx="10">
                  <c:v>2009-10</c:v>
                </c:pt>
                <c:pt idx="11">
                  <c:v>2009-11</c:v>
                </c:pt>
                <c:pt idx="12">
                  <c:v>2009-12</c:v>
                </c:pt>
                <c:pt idx="13">
                  <c:v>2010-01</c:v>
                </c:pt>
                <c:pt idx="14">
                  <c:v>2010-02</c:v>
                </c:pt>
                <c:pt idx="15">
                  <c:v>2010-03</c:v>
                </c:pt>
                <c:pt idx="16">
                  <c:v>2010-04</c:v>
                </c:pt>
                <c:pt idx="17">
                  <c:v>2010-05</c:v>
                </c:pt>
                <c:pt idx="18">
                  <c:v>2010-06</c:v>
                </c:pt>
                <c:pt idx="19">
                  <c:v>2010-07</c:v>
                </c:pt>
                <c:pt idx="20">
                  <c:v>2010-08</c:v>
                </c:pt>
                <c:pt idx="21">
                  <c:v>2010-09</c:v>
                </c:pt>
                <c:pt idx="22">
                  <c:v>2010-10</c:v>
                </c:pt>
                <c:pt idx="23">
                  <c:v>2010-11</c:v>
                </c:pt>
                <c:pt idx="24">
                  <c:v>2010-12</c:v>
                </c:pt>
                <c:pt idx="25">
                  <c:v>2011-01</c:v>
                </c:pt>
                <c:pt idx="26">
                  <c:v>2011-02</c:v>
                </c:pt>
                <c:pt idx="27">
                  <c:v>2011-03</c:v>
                </c:pt>
                <c:pt idx="28">
                  <c:v>2011-04</c:v>
                </c:pt>
                <c:pt idx="29">
                  <c:v>2011-05</c:v>
                </c:pt>
                <c:pt idx="30">
                  <c:v>2011-06</c:v>
                </c:pt>
                <c:pt idx="31">
                  <c:v>2011-07</c:v>
                </c:pt>
                <c:pt idx="32">
                  <c:v>2011-08</c:v>
                </c:pt>
                <c:pt idx="33">
                  <c:v>2011-09</c:v>
                </c:pt>
                <c:pt idx="34">
                  <c:v>2011-10</c:v>
                </c:pt>
                <c:pt idx="35">
                  <c:v>2011-11</c:v>
                </c:pt>
                <c:pt idx="36">
                  <c:v>2011-12</c:v>
                </c:pt>
                <c:pt idx="37">
                  <c:v>2012-01</c:v>
                </c:pt>
                <c:pt idx="38">
                  <c:v>2012-02</c:v>
                </c:pt>
                <c:pt idx="39">
                  <c:v>2012-03</c:v>
                </c:pt>
                <c:pt idx="40">
                  <c:v>2012-04</c:v>
                </c:pt>
                <c:pt idx="41">
                  <c:v>2012-05</c:v>
                </c:pt>
                <c:pt idx="42">
                  <c:v>2012-06</c:v>
                </c:pt>
                <c:pt idx="43">
                  <c:v>2012-07</c:v>
                </c:pt>
                <c:pt idx="44">
                  <c:v>2012-08</c:v>
                </c:pt>
                <c:pt idx="45">
                  <c:v>2012-09</c:v>
                </c:pt>
                <c:pt idx="46">
                  <c:v>2012-10</c:v>
                </c:pt>
                <c:pt idx="47">
                  <c:v>2012-11</c:v>
                </c:pt>
                <c:pt idx="48">
                  <c:v>2012-12</c:v>
                </c:pt>
              </c:strCache>
            </c:strRef>
          </c:cat>
          <c:val>
            <c:numRef>
              <c:f>KPI!$B$4:$AX$4</c:f>
              <c:numCache>
                <c:ptCount val="49"/>
                <c:pt idx="0">
                  <c:v>1141000</c:v>
                </c:pt>
                <c:pt idx="1">
                  <c:v>1137000</c:v>
                </c:pt>
                <c:pt idx="2">
                  <c:v>1130000</c:v>
                </c:pt>
                <c:pt idx="3">
                  <c:v>1257000</c:v>
                </c:pt>
                <c:pt idx="4">
                  <c:v>1266000</c:v>
                </c:pt>
                <c:pt idx="5">
                  <c:v>1298000</c:v>
                </c:pt>
                <c:pt idx="6">
                  <c:v>1491000</c:v>
                </c:pt>
                <c:pt idx="7">
                  <c:v>1353000</c:v>
                </c:pt>
                <c:pt idx="8">
                  <c:v>1413000</c:v>
                </c:pt>
                <c:pt idx="9">
                  <c:v>1342000</c:v>
                </c:pt>
                <c:pt idx="10">
                  <c:v>1393000</c:v>
                </c:pt>
                <c:pt idx="11">
                  <c:v>1532000</c:v>
                </c:pt>
                <c:pt idx="12">
                  <c:v>1400000</c:v>
                </c:pt>
                <c:pt idx="13">
                  <c:v>1725000</c:v>
                </c:pt>
                <c:pt idx="14">
                  <c:v>1741000</c:v>
                </c:pt>
                <c:pt idx="15">
                  <c:v>1494000</c:v>
                </c:pt>
                <c:pt idx="16">
                  <c:v>1533000</c:v>
                </c:pt>
                <c:pt idx="17">
                  <c:v>1531000</c:v>
                </c:pt>
                <c:pt idx="18">
                  <c:v>1506000</c:v>
                </c:pt>
                <c:pt idx="19">
                  <c:v>1531000</c:v>
                </c:pt>
                <c:pt idx="20">
                  <c:v>1562000</c:v>
                </c:pt>
                <c:pt idx="21">
                  <c:v>1525000</c:v>
                </c:pt>
                <c:pt idx="22">
                  <c:v>1596000</c:v>
                </c:pt>
                <c:pt idx="23">
                  <c:v>1624000</c:v>
                </c:pt>
                <c:pt idx="24">
                  <c:v>1577000</c:v>
                </c:pt>
                <c:pt idx="25">
                  <c:v>1313000</c:v>
                </c:pt>
                <c:pt idx="26">
                  <c:v>1276000</c:v>
                </c:pt>
                <c:pt idx="27">
                  <c:v>1427000</c:v>
                </c:pt>
                <c:pt idx="28">
                  <c:v>1456000</c:v>
                </c:pt>
                <c:pt idx="29">
                  <c:v>1403000</c:v>
                </c:pt>
                <c:pt idx="30">
                  <c:v>1374000</c:v>
                </c:pt>
                <c:pt idx="31">
                  <c:v>1388000</c:v>
                </c:pt>
                <c:pt idx="32">
                  <c:v>1510000</c:v>
                </c:pt>
                <c:pt idx="33">
                  <c:v>1560000</c:v>
                </c:pt>
                <c:pt idx="34">
                  <c:v>1498000</c:v>
                </c:pt>
                <c:pt idx="35">
                  <c:v>1470000</c:v>
                </c:pt>
                <c:pt idx="36">
                  <c:v>1489000</c:v>
                </c:pt>
                <c:pt idx="37">
                  <c:v>1464494.705882353</c:v>
                </c:pt>
                <c:pt idx="38">
                  <c:v>1488661.6470588236</c:v>
                </c:pt>
                <c:pt idx="39">
                  <c:v>1551961.5882352942</c:v>
                </c:pt>
                <c:pt idx="40">
                  <c:v>1561476.8823529412</c:v>
                </c:pt>
                <c:pt idx="41">
                  <c:v>1628027.2352941176</c:v>
                </c:pt>
                <c:pt idx="42">
                  <c:v>1645919.8235294118</c:v>
                </c:pt>
                <c:pt idx="43">
                  <c:v>1655309.3529411764</c:v>
                </c:pt>
                <c:pt idx="44">
                  <c:v>1628858.5882352942</c:v>
                </c:pt>
                <c:pt idx="45">
                  <c:v>1638807.9411764706</c:v>
                </c:pt>
                <c:pt idx="46">
                  <c:v>1619554.1764705882</c:v>
                </c:pt>
                <c:pt idx="47">
                  <c:v>1634154.0588235294</c:v>
                </c:pt>
                <c:pt idx="48">
                  <c:v>1626894.1764705882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KPI!$A$5</c:f>
              <c:strCache>
                <c:ptCount val="1"/>
                <c:pt idx="0">
                  <c:v>Net Income</c:v>
                </c:pt>
              </c:strCache>
            </c:strRef>
          </c:tx>
          <c:spPr>
            <a:ln w="38100">
              <a:solidFill>
                <a:srgbClr val="90713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90713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KPI!$B$2:$AX$2</c:f>
              <c:strCache>
                <c:ptCount val="49"/>
                <c:pt idx="0">
                  <c:v>2008-12</c:v>
                </c:pt>
                <c:pt idx="1">
                  <c:v>2009-01</c:v>
                </c:pt>
                <c:pt idx="2">
                  <c:v>2009-02</c:v>
                </c:pt>
                <c:pt idx="3">
                  <c:v>2009-03</c:v>
                </c:pt>
                <c:pt idx="4">
                  <c:v>2009-04</c:v>
                </c:pt>
                <c:pt idx="5">
                  <c:v>2009-05</c:v>
                </c:pt>
                <c:pt idx="6">
                  <c:v>2009-06</c:v>
                </c:pt>
                <c:pt idx="7">
                  <c:v>2009-07</c:v>
                </c:pt>
                <c:pt idx="8">
                  <c:v>2009-08</c:v>
                </c:pt>
                <c:pt idx="9">
                  <c:v>2009-09</c:v>
                </c:pt>
                <c:pt idx="10">
                  <c:v>2009-10</c:v>
                </c:pt>
                <c:pt idx="11">
                  <c:v>2009-11</c:v>
                </c:pt>
                <c:pt idx="12">
                  <c:v>2009-12</c:v>
                </c:pt>
                <c:pt idx="13">
                  <c:v>2010-01</c:v>
                </c:pt>
                <c:pt idx="14">
                  <c:v>2010-02</c:v>
                </c:pt>
                <c:pt idx="15">
                  <c:v>2010-03</c:v>
                </c:pt>
                <c:pt idx="16">
                  <c:v>2010-04</c:v>
                </c:pt>
                <c:pt idx="17">
                  <c:v>2010-05</c:v>
                </c:pt>
                <c:pt idx="18">
                  <c:v>2010-06</c:v>
                </c:pt>
                <c:pt idx="19">
                  <c:v>2010-07</c:v>
                </c:pt>
                <c:pt idx="20">
                  <c:v>2010-08</c:v>
                </c:pt>
                <c:pt idx="21">
                  <c:v>2010-09</c:v>
                </c:pt>
                <c:pt idx="22">
                  <c:v>2010-10</c:v>
                </c:pt>
                <c:pt idx="23">
                  <c:v>2010-11</c:v>
                </c:pt>
                <c:pt idx="24">
                  <c:v>2010-12</c:v>
                </c:pt>
                <c:pt idx="25">
                  <c:v>2011-01</c:v>
                </c:pt>
                <c:pt idx="26">
                  <c:v>2011-02</c:v>
                </c:pt>
                <c:pt idx="27">
                  <c:v>2011-03</c:v>
                </c:pt>
                <c:pt idx="28">
                  <c:v>2011-04</c:v>
                </c:pt>
                <c:pt idx="29">
                  <c:v>2011-05</c:v>
                </c:pt>
                <c:pt idx="30">
                  <c:v>2011-06</c:v>
                </c:pt>
                <c:pt idx="31">
                  <c:v>2011-07</c:v>
                </c:pt>
                <c:pt idx="32">
                  <c:v>2011-08</c:v>
                </c:pt>
                <c:pt idx="33">
                  <c:v>2011-09</c:v>
                </c:pt>
                <c:pt idx="34">
                  <c:v>2011-10</c:v>
                </c:pt>
                <c:pt idx="35">
                  <c:v>2011-11</c:v>
                </c:pt>
                <c:pt idx="36">
                  <c:v>2011-12</c:v>
                </c:pt>
                <c:pt idx="37">
                  <c:v>2012-01</c:v>
                </c:pt>
                <c:pt idx="38">
                  <c:v>2012-02</c:v>
                </c:pt>
                <c:pt idx="39">
                  <c:v>2012-03</c:v>
                </c:pt>
                <c:pt idx="40">
                  <c:v>2012-04</c:v>
                </c:pt>
                <c:pt idx="41">
                  <c:v>2012-05</c:v>
                </c:pt>
                <c:pt idx="42">
                  <c:v>2012-06</c:v>
                </c:pt>
                <c:pt idx="43">
                  <c:v>2012-07</c:v>
                </c:pt>
                <c:pt idx="44">
                  <c:v>2012-08</c:v>
                </c:pt>
                <c:pt idx="45">
                  <c:v>2012-09</c:v>
                </c:pt>
                <c:pt idx="46">
                  <c:v>2012-10</c:v>
                </c:pt>
                <c:pt idx="47">
                  <c:v>2012-11</c:v>
                </c:pt>
                <c:pt idx="48">
                  <c:v>2012-12</c:v>
                </c:pt>
              </c:strCache>
            </c:strRef>
          </c:cat>
          <c:val>
            <c:numRef>
              <c:f>KPI!$B$5:$AX$5</c:f>
              <c:numCache>
                <c:ptCount val="49"/>
                <c:pt idx="0">
                  <c:v>66424</c:v>
                </c:pt>
                <c:pt idx="1">
                  <c:v>57550</c:v>
                </c:pt>
                <c:pt idx="2">
                  <c:v>25682</c:v>
                </c:pt>
                <c:pt idx="3">
                  <c:v>110825</c:v>
                </c:pt>
                <c:pt idx="4">
                  <c:v>114543</c:v>
                </c:pt>
                <c:pt idx="5">
                  <c:v>149243</c:v>
                </c:pt>
                <c:pt idx="6">
                  <c:v>295966</c:v>
                </c:pt>
                <c:pt idx="7">
                  <c:v>165876</c:v>
                </c:pt>
                <c:pt idx="8">
                  <c:v>207798</c:v>
                </c:pt>
                <c:pt idx="9">
                  <c:v>90800</c:v>
                </c:pt>
                <c:pt idx="10">
                  <c:v>122833</c:v>
                </c:pt>
                <c:pt idx="11">
                  <c:v>246038</c:v>
                </c:pt>
                <c:pt idx="12">
                  <c:v>96164</c:v>
                </c:pt>
                <c:pt idx="13">
                  <c:v>259030</c:v>
                </c:pt>
                <c:pt idx="14">
                  <c:v>279913</c:v>
                </c:pt>
                <c:pt idx="15">
                  <c:v>40814</c:v>
                </c:pt>
                <c:pt idx="16">
                  <c:v>98164</c:v>
                </c:pt>
                <c:pt idx="17">
                  <c:v>91100</c:v>
                </c:pt>
                <c:pt idx="18">
                  <c:v>114048</c:v>
                </c:pt>
                <c:pt idx="19">
                  <c:v>129107</c:v>
                </c:pt>
                <c:pt idx="20">
                  <c:v>151153</c:v>
                </c:pt>
                <c:pt idx="21">
                  <c:v>146136</c:v>
                </c:pt>
                <c:pt idx="22">
                  <c:v>219287</c:v>
                </c:pt>
                <c:pt idx="23">
                  <c:v>229451</c:v>
                </c:pt>
                <c:pt idx="24">
                  <c:v>232976</c:v>
                </c:pt>
                <c:pt idx="25">
                  <c:v>117162</c:v>
                </c:pt>
                <c:pt idx="26">
                  <c:v>98361</c:v>
                </c:pt>
                <c:pt idx="27">
                  <c:v>258571</c:v>
                </c:pt>
                <c:pt idx="28">
                  <c:v>318664</c:v>
                </c:pt>
                <c:pt idx="29">
                  <c:v>266230</c:v>
                </c:pt>
                <c:pt idx="30">
                  <c:v>228807</c:v>
                </c:pt>
                <c:pt idx="31">
                  <c:v>236290</c:v>
                </c:pt>
                <c:pt idx="32">
                  <c:v>351810</c:v>
                </c:pt>
                <c:pt idx="33">
                  <c:v>376411</c:v>
                </c:pt>
                <c:pt idx="34">
                  <c:v>306018</c:v>
                </c:pt>
                <c:pt idx="35">
                  <c:v>295432</c:v>
                </c:pt>
                <c:pt idx="36">
                  <c:v>328712</c:v>
                </c:pt>
                <c:pt idx="37">
                  <c:v>309760.1245225362</c:v>
                </c:pt>
                <c:pt idx="38">
                  <c:v>337876.2947426904</c:v>
                </c:pt>
                <c:pt idx="39">
                  <c:v>408868.06867269834</c:v>
                </c:pt>
                <c:pt idx="40">
                  <c:v>376147.72732208774</c:v>
                </c:pt>
                <c:pt idx="41">
                  <c:v>431303.09214357624</c:v>
                </c:pt>
                <c:pt idx="42">
                  <c:v>429780.31060429884</c:v>
                </c:pt>
                <c:pt idx="43">
                  <c:v>441060.5596202738</c:v>
                </c:pt>
                <c:pt idx="44">
                  <c:v>411747.79460485216</c:v>
                </c:pt>
                <c:pt idx="45">
                  <c:v>442872.62619994575</c:v>
                </c:pt>
                <c:pt idx="46">
                  <c:v>420485.50436479924</c:v>
                </c:pt>
                <c:pt idx="47">
                  <c:v>418322.6625156098</c:v>
                </c:pt>
                <c:pt idx="48">
                  <c:v>401016.41334781575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KPI!$A$6</c:f>
              <c:strCache>
                <c:ptCount val="1"/>
                <c:pt idx="0">
                  <c:v>Admin Labor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CC99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KPI!$B$2:$AX$2</c:f>
              <c:strCache>
                <c:ptCount val="49"/>
                <c:pt idx="0">
                  <c:v>2008-12</c:v>
                </c:pt>
                <c:pt idx="1">
                  <c:v>2009-01</c:v>
                </c:pt>
                <c:pt idx="2">
                  <c:v>2009-02</c:v>
                </c:pt>
                <c:pt idx="3">
                  <c:v>2009-03</c:v>
                </c:pt>
                <c:pt idx="4">
                  <c:v>2009-04</c:v>
                </c:pt>
                <c:pt idx="5">
                  <c:v>2009-05</c:v>
                </c:pt>
                <c:pt idx="6">
                  <c:v>2009-06</c:v>
                </c:pt>
                <c:pt idx="7">
                  <c:v>2009-07</c:v>
                </c:pt>
                <c:pt idx="8">
                  <c:v>2009-08</c:v>
                </c:pt>
                <c:pt idx="9">
                  <c:v>2009-09</c:v>
                </c:pt>
                <c:pt idx="10">
                  <c:v>2009-10</c:v>
                </c:pt>
                <c:pt idx="11">
                  <c:v>2009-11</c:v>
                </c:pt>
                <c:pt idx="12">
                  <c:v>2009-12</c:v>
                </c:pt>
                <c:pt idx="13">
                  <c:v>2010-01</c:v>
                </c:pt>
                <c:pt idx="14">
                  <c:v>2010-02</c:v>
                </c:pt>
                <c:pt idx="15">
                  <c:v>2010-03</c:v>
                </c:pt>
                <c:pt idx="16">
                  <c:v>2010-04</c:v>
                </c:pt>
                <c:pt idx="17">
                  <c:v>2010-05</c:v>
                </c:pt>
                <c:pt idx="18">
                  <c:v>2010-06</c:v>
                </c:pt>
                <c:pt idx="19">
                  <c:v>2010-07</c:v>
                </c:pt>
                <c:pt idx="20">
                  <c:v>2010-08</c:v>
                </c:pt>
                <c:pt idx="21">
                  <c:v>2010-09</c:v>
                </c:pt>
                <c:pt idx="22">
                  <c:v>2010-10</c:v>
                </c:pt>
                <c:pt idx="23">
                  <c:v>2010-11</c:v>
                </c:pt>
                <c:pt idx="24">
                  <c:v>2010-12</c:v>
                </c:pt>
                <c:pt idx="25">
                  <c:v>2011-01</c:v>
                </c:pt>
                <c:pt idx="26">
                  <c:v>2011-02</c:v>
                </c:pt>
                <c:pt idx="27">
                  <c:v>2011-03</c:v>
                </c:pt>
                <c:pt idx="28">
                  <c:v>2011-04</c:v>
                </c:pt>
                <c:pt idx="29">
                  <c:v>2011-05</c:v>
                </c:pt>
                <c:pt idx="30">
                  <c:v>2011-06</c:v>
                </c:pt>
                <c:pt idx="31">
                  <c:v>2011-07</c:v>
                </c:pt>
                <c:pt idx="32">
                  <c:v>2011-08</c:v>
                </c:pt>
                <c:pt idx="33">
                  <c:v>2011-09</c:v>
                </c:pt>
                <c:pt idx="34">
                  <c:v>2011-10</c:v>
                </c:pt>
                <c:pt idx="35">
                  <c:v>2011-11</c:v>
                </c:pt>
                <c:pt idx="36">
                  <c:v>2011-12</c:v>
                </c:pt>
                <c:pt idx="37">
                  <c:v>2012-01</c:v>
                </c:pt>
                <c:pt idx="38">
                  <c:v>2012-02</c:v>
                </c:pt>
                <c:pt idx="39">
                  <c:v>2012-03</c:v>
                </c:pt>
                <c:pt idx="40">
                  <c:v>2012-04</c:v>
                </c:pt>
                <c:pt idx="41">
                  <c:v>2012-05</c:v>
                </c:pt>
                <c:pt idx="42">
                  <c:v>2012-06</c:v>
                </c:pt>
                <c:pt idx="43">
                  <c:v>2012-07</c:v>
                </c:pt>
                <c:pt idx="44">
                  <c:v>2012-08</c:v>
                </c:pt>
                <c:pt idx="45">
                  <c:v>2012-09</c:v>
                </c:pt>
                <c:pt idx="46">
                  <c:v>2012-10</c:v>
                </c:pt>
                <c:pt idx="47">
                  <c:v>2012-11</c:v>
                </c:pt>
                <c:pt idx="48">
                  <c:v>2012-12</c:v>
                </c:pt>
              </c:strCache>
            </c:strRef>
          </c:cat>
          <c:val>
            <c:numRef>
              <c:f>KPI!$B$6:$AX$6</c:f>
              <c:numCache>
                <c:ptCount val="49"/>
                <c:pt idx="0">
                  <c:v>362000</c:v>
                </c:pt>
                <c:pt idx="1">
                  <c:v>359000</c:v>
                </c:pt>
                <c:pt idx="2">
                  <c:v>375000</c:v>
                </c:pt>
                <c:pt idx="3">
                  <c:v>398000</c:v>
                </c:pt>
                <c:pt idx="4">
                  <c:v>415000</c:v>
                </c:pt>
                <c:pt idx="5">
                  <c:v>418000</c:v>
                </c:pt>
                <c:pt idx="6">
                  <c:v>425000</c:v>
                </c:pt>
                <c:pt idx="7">
                  <c:v>433000</c:v>
                </c:pt>
                <c:pt idx="8">
                  <c:v>441000</c:v>
                </c:pt>
                <c:pt idx="9">
                  <c:v>478000</c:v>
                </c:pt>
                <c:pt idx="10">
                  <c:v>494000</c:v>
                </c:pt>
                <c:pt idx="11">
                  <c:v>514000</c:v>
                </c:pt>
                <c:pt idx="12">
                  <c:v>548000</c:v>
                </c:pt>
                <c:pt idx="13">
                  <c:v>553000</c:v>
                </c:pt>
                <c:pt idx="14">
                  <c:v>537000</c:v>
                </c:pt>
                <c:pt idx="15">
                  <c:v>528000</c:v>
                </c:pt>
                <c:pt idx="16">
                  <c:v>491000</c:v>
                </c:pt>
                <c:pt idx="17">
                  <c:v>482000</c:v>
                </c:pt>
                <c:pt idx="18">
                  <c:v>468000</c:v>
                </c:pt>
                <c:pt idx="19">
                  <c:v>453000</c:v>
                </c:pt>
                <c:pt idx="20">
                  <c:v>453000</c:v>
                </c:pt>
                <c:pt idx="21">
                  <c:v>430000</c:v>
                </c:pt>
                <c:pt idx="22">
                  <c:v>422000</c:v>
                </c:pt>
                <c:pt idx="23">
                  <c:v>417000</c:v>
                </c:pt>
                <c:pt idx="24">
                  <c:v>404000</c:v>
                </c:pt>
                <c:pt idx="25">
                  <c:v>400000</c:v>
                </c:pt>
                <c:pt idx="26">
                  <c:v>397000</c:v>
                </c:pt>
                <c:pt idx="27">
                  <c:v>401000</c:v>
                </c:pt>
                <c:pt idx="28">
                  <c:v>405000</c:v>
                </c:pt>
                <c:pt idx="29">
                  <c:v>408000</c:v>
                </c:pt>
                <c:pt idx="30">
                  <c:v>412000</c:v>
                </c:pt>
                <c:pt idx="31">
                  <c:v>415000</c:v>
                </c:pt>
                <c:pt idx="32">
                  <c:v>419000</c:v>
                </c:pt>
                <c:pt idx="33">
                  <c:v>421000</c:v>
                </c:pt>
                <c:pt idx="34">
                  <c:v>420000</c:v>
                </c:pt>
                <c:pt idx="35">
                  <c:v>421000</c:v>
                </c:pt>
                <c:pt idx="36">
                  <c:v>420000</c:v>
                </c:pt>
                <c:pt idx="37">
                  <c:v>430141.34453781514</c:v>
                </c:pt>
                <c:pt idx="38">
                  <c:v>420046.1848739496</c:v>
                </c:pt>
                <c:pt idx="39">
                  <c:v>388131.8823529412</c:v>
                </c:pt>
                <c:pt idx="40">
                  <c:v>398564.8235294118</c:v>
                </c:pt>
                <c:pt idx="41">
                  <c:v>409007.7815126051</c:v>
                </c:pt>
                <c:pt idx="42">
                  <c:v>428405.66386554623</c:v>
                </c:pt>
                <c:pt idx="43">
                  <c:v>439516.9579831932</c:v>
                </c:pt>
                <c:pt idx="44">
                  <c:v>458673.8823529411</c:v>
                </c:pt>
                <c:pt idx="45">
                  <c:v>460659.4117647058</c:v>
                </c:pt>
                <c:pt idx="46">
                  <c:v>470444.050420168</c:v>
                </c:pt>
                <c:pt idx="47">
                  <c:v>470615.44537815126</c:v>
                </c:pt>
                <c:pt idx="48">
                  <c:v>464826.90756302513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KPI!$A$7</c:f>
              <c:strCache>
                <c:ptCount val="1"/>
                <c:pt idx="0">
                  <c:v>Gross profit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99CCFF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KPI!$B$2:$AX$2</c:f>
              <c:strCache>
                <c:ptCount val="49"/>
                <c:pt idx="0">
                  <c:v>2008-12</c:v>
                </c:pt>
                <c:pt idx="1">
                  <c:v>2009-01</c:v>
                </c:pt>
                <c:pt idx="2">
                  <c:v>2009-02</c:v>
                </c:pt>
                <c:pt idx="3">
                  <c:v>2009-03</c:v>
                </c:pt>
                <c:pt idx="4">
                  <c:v>2009-04</c:v>
                </c:pt>
                <c:pt idx="5">
                  <c:v>2009-05</c:v>
                </c:pt>
                <c:pt idx="6">
                  <c:v>2009-06</c:v>
                </c:pt>
                <c:pt idx="7">
                  <c:v>2009-07</c:v>
                </c:pt>
                <c:pt idx="8">
                  <c:v>2009-08</c:v>
                </c:pt>
                <c:pt idx="9">
                  <c:v>2009-09</c:v>
                </c:pt>
                <c:pt idx="10">
                  <c:v>2009-10</c:v>
                </c:pt>
                <c:pt idx="11">
                  <c:v>2009-11</c:v>
                </c:pt>
                <c:pt idx="12">
                  <c:v>2009-12</c:v>
                </c:pt>
                <c:pt idx="13">
                  <c:v>2010-01</c:v>
                </c:pt>
                <c:pt idx="14">
                  <c:v>2010-02</c:v>
                </c:pt>
                <c:pt idx="15">
                  <c:v>2010-03</c:v>
                </c:pt>
                <c:pt idx="16">
                  <c:v>2010-04</c:v>
                </c:pt>
                <c:pt idx="17">
                  <c:v>2010-05</c:v>
                </c:pt>
                <c:pt idx="18">
                  <c:v>2010-06</c:v>
                </c:pt>
                <c:pt idx="19">
                  <c:v>2010-07</c:v>
                </c:pt>
                <c:pt idx="20">
                  <c:v>2010-08</c:v>
                </c:pt>
                <c:pt idx="21">
                  <c:v>2010-09</c:v>
                </c:pt>
                <c:pt idx="22">
                  <c:v>2010-10</c:v>
                </c:pt>
                <c:pt idx="23">
                  <c:v>2010-11</c:v>
                </c:pt>
                <c:pt idx="24">
                  <c:v>2010-12</c:v>
                </c:pt>
                <c:pt idx="25">
                  <c:v>2011-01</c:v>
                </c:pt>
                <c:pt idx="26">
                  <c:v>2011-02</c:v>
                </c:pt>
                <c:pt idx="27">
                  <c:v>2011-03</c:v>
                </c:pt>
                <c:pt idx="28">
                  <c:v>2011-04</c:v>
                </c:pt>
                <c:pt idx="29">
                  <c:v>2011-05</c:v>
                </c:pt>
                <c:pt idx="30">
                  <c:v>2011-06</c:v>
                </c:pt>
                <c:pt idx="31">
                  <c:v>2011-07</c:v>
                </c:pt>
                <c:pt idx="32">
                  <c:v>2011-08</c:v>
                </c:pt>
                <c:pt idx="33">
                  <c:v>2011-09</c:v>
                </c:pt>
                <c:pt idx="34">
                  <c:v>2011-10</c:v>
                </c:pt>
                <c:pt idx="35">
                  <c:v>2011-11</c:v>
                </c:pt>
                <c:pt idx="36">
                  <c:v>2011-12</c:v>
                </c:pt>
                <c:pt idx="37">
                  <c:v>2012-01</c:v>
                </c:pt>
                <c:pt idx="38">
                  <c:v>2012-02</c:v>
                </c:pt>
                <c:pt idx="39">
                  <c:v>2012-03</c:v>
                </c:pt>
                <c:pt idx="40">
                  <c:v>2012-04</c:v>
                </c:pt>
                <c:pt idx="41">
                  <c:v>2012-05</c:v>
                </c:pt>
                <c:pt idx="42">
                  <c:v>2012-06</c:v>
                </c:pt>
                <c:pt idx="43">
                  <c:v>2012-07</c:v>
                </c:pt>
                <c:pt idx="44">
                  <c:v>2012-08</c:v>
                </c:pt>
                <c:pt idx="45">
                  <c:v>2012-09</c:v>
                </c:pt>
                <c:pt idx="46">
                  <c:v>2012-10</c:v>
                </c:pt>
                <c:pt idx="47">
                  <c:v>2012-11</c:v>
                </c:pt>
                <c:pt idx="48">
                  <c:v>2012-12</c:v>
                </c:pt>
              </c:strCache>
            </c:strRef>
          </c:cat>
          <c:val>
            <c:numRef>
              <c:f>KPI!$B$7:$AX$7</c:f>
              <c:numCache>
                <c:ptCount val="49"/>
                <c:pt idx="0">
                  <c:v>1609000</c:v>
                </c:pt>
                <c:pt idx="1">
                  <c:v>1631000</c:v>
                </c:pt>
                <c:pt idx="2">
                  <c:v>1627000</c:v>
                </c:pt>
                <c:pt idx="3">
                  <c:v>1757000</c:v>
                </c:pt>
                <c:pt idx="4">
                  <c:v>1775000</c:v>
                </c:pt>
                <c:pt idx="5">
                  <c:v>1834000</c:v>
                </c:pt>
                <c:pt idx="6">
                  <c:v>2032000</c:v>
                </c:pt>
                <c:pt idx="7">
                  <c:v>1914000</c:v>
                </c:pt>
                <c:pt idx="8">
                  <c:v>1990000</c:v>
                </c:pt>
                <c:pt idx="9">
                  <c:v>1920000</c:v>
                </c:pt>
                <c:pt idx="10">
                  <c:v>1915000</c:v>
                </c:pt>
                <c:pt idx="11">
                  <c:v>2028000</c:v>
                </c:pt>
                <c:pt idx="12">
                  <c:v>1878000</c:v>
                </c:pt>
                <c:pt idx="13">
                  <c:v>2221000</c:v>
                </c:pt>
                <c:pt idx="14">
                  <c:v>2250000</c:v>
                </c:pt>
                <c:pt idx="15">
                  <c:v>2006000</c:v>
                </c:pt>
                <c:pt idx="16">
                  <c:v>2074000</c:v>
                </c:pt>
                <c:pt idx="17">
                  <c:v>2070000</c:v>
                </c:pt>
                <c:pt idx="18">
                  <c:v>2048000</c:v>
                </c:pt>
                <c:pt idx="19">
                  <c:v>2074000</c:v>
                </c:pt>
                <c:pt idx="20">
                  <c:v>2131000</c:v>
                </c:pt>
                <c:pt idx="21">
                  <c:v>2079000</c:v>
                </c:pt>
                <c:pt idx="22">
                  <c:v>2160000</c:v>
                </c:pt>
                <c:pt idx="23">
                  <c:v>2191000</c:v>
                </c:pt>
                <c:pt idx="24">
                  <c:v>2134000</c:v>
                </c:pt>
                <c:pt idx="25">
                  <c:v>1835000</c:v>
                </c:pt>
                <c:pt idx="26">
                  <c:v>1800000</c:v>
                </c:pt>
                <c:pt idx="27">
                  <c:v>1958000</c:v>
                </c:pt>
                <c:pt idx="28">
                  <c:v>1964000</c:v>
                </c:pt>
                <c:pt idx="29">
                  <c:v>1906000</c:v>
                </c:pt>
                <c:pt idx="30">
                  <c:v>1874000</c:v>
                </c:pt>
                <c:pt idx="31">
                  <c:v>1874000</c:v>
                </c:pt>
                <c:pt idx="32">
                  <c:v>1979000</c:v>
                </c:pt>
                <c:pt idx="33">
                  <c:v>2025000</c:v>
                </c:pt>
                <c:pt idx="34">
                  <c:v>1952000</c:v>
                </c:pt>
                <c:pt idx="35">
                  <c:v>1918000</c:v>
                </c:pt>
                <c:pt idx="36">
                  <c:v>1946000</c:v>
                </c:pt>
                <c:pt idx="37">
                  <c:v>1944570</c:v>
                </c:pt>
                <c:pt idx="38">
                  <c:v>1960096</c:v>
                </c:pt>
                <c:pt idx="39">
                  <c:v>2018719</c:v>
                </c:pt>
                <c:pt idx="40">
                  <c:v>2032239</c:v>
                </c:pt>
                <c:pt idx="41">
                  <c:v>2089651</c:v>
                </c:pt>
                <c:pt idx="42">
                  <c:v>2112049</c:v>
                </c:pt>
                <c:pt idx="43">
                  <c:v>2123943</c:v>
                </c:pt>
                <c:pt idx="44">
                  <c:v>2103892</c:v>
                </c:pt>
                <c:pt idx="45">
                  <c:v>2111595</c:v>
                </c:pt>
                <c:pt idx="46">
                  <c:v>2104417</c:v>
                </c:pt>
                <c:pt idx="47">
                  <c:v>2130663</c:v>
                </c:pt>
                <c:pt idx="48">
                  <c:v>2127477</c:v>
                </c:pt>
              </c:numCache>
            </c:numRef>
          </c:val>
          <c:smooth val="0"/>
        </c:ser>
        <c:marker val="1"/>
        <c:axId val="52382034"/>
        <c:axId val="1676259"/>
      </c:lineChart>
      <c:catAx>
        <c:axId val="5238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76259"/>
        <c:crosses val="autoZero"/>
        <c:auto val="1"/>
        <c:lblOffset val="100"/>
        <c:tickLblSkip val="2"/>
        <c:noMultiLvlLbl val="0"/>
      </c:catAx>
      <c:valAx>
        <c:axId val="1676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82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38325"/>
          <c:w val="0.17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25"/>
          <c:w val="0.857"/>
          <c:h val="0.987"/>
        </c:manualLayout>
      </c:layout>
      <c:lineChart>
        <c:grouping val="standard"/>
        <c:varyColors val="0"/>
        <c:ser>
          <c:idx val="0"/>
          <c:order val="0"/>
          <c:tx>
            <c:strRef>
              <c:f>KPI!$A$10</c:f>
              <c:strCache>
                <c:ptCount val="1"/>
                <c:pt idx="0">
                  <c:v>Cash Flow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KPI!$B$9:$AW$9</c:f>
              <c:strCache>
                <c:ptCount val="48"/>
                <c:pt idx="0">
                  <c:v>2009-01</c:v>
                </c:pt>
                <c:pt idx="1">
                  <c:v>2009-02</c:v>
                </c:pt>
                <c:pt idx="2">
                  <c:v>2009-03</c:v>
                </c:pt>
                <c:pt idx="3">
                  <c:v>2009-04</c:v>
                </c:pt>
                <c:pt idx="4">
                  <c:v>2009-05</c:v>
                </c:pt>
                <c:pt idx="5">
                  <c:v>2009-06</c:v>
                </c:pt>
                <c:pt idx="6">
                  <c:v>2009-07</c:v>
                </c:pt>
                <c:pt idx="7">
                  <c:v>2009-08</c:v>
                </c:pt>
                <c:pt idx="8">
                  <c:v>2009-09</c:v>
                </c:pt>
                <c:pt idx="9">
                  <c:v>2009-10</c:v>
                </c:pt>
                <c:pt idx="10">
                  <c:v>2009-11</c:v>
                </c:pt>
                <c:pt idx="11">
                  <c:v>2009-12</c:v>
                </c:pt>
                <c:pt idx="12">
                  <c:v>2010-01</c:v>
                </c:pt>
                <c:pt idx="13">
                  <c:v>2010-02</c:v>
                </c:pt>
                <c:pt idx="14">
                  <c:v>2010-03</c:v>
                </c:pt>
                <c:pt idx="15">
                  <c:v>2010-04</c:v>
                </c:pt>
                <c:pt idx="16">
                  <c:v>2010-05</c:v>
                </c:pt>
                <c:pt idx="17">
                  <c:v>2010-06</c:v>
                </c:pt>
                <c:pt idx="18">
                  <c:v>2010-07</c:v>
                </c:pt>
                <c:pt idx="19">
                  <c:v>2010-08</c:v>
                </c:pt>
                <c:pt idx="20">
                  <c:v>2010-09</c:v>
                </c:pt>
                <c:pt idx="21">
                  <c:v>2010-10</c:v>
                </c:pt>
                <c:pt idx="22">
                  <c:v>2010-11</c:v>
                </c:pt>
                <c:pt idx="23">
                  <c:v>2010-12</c:v>
                </c:pt>
                <c:pt idx="24">
                  <c:v>2011-01</c:v>
                </c:pt>
                <c:pt idx="25">
                  <c:v>2011-02</c:v>
                </c:pt>
                <c:pt idx="26">
                  <c:v>2011-03</c:v>
                </c:pt>
                <c:pt idx="27">
                  <c:v>2011-04</c:v>
                </c:pt>
                <c:pt idx="28">
                  <c:v>2011-05</c:v>
                </c:pt>
                <c:pt idx="29">
                  <c:v>2011-06</c:v>
                </c:pt>
                <c:pt idx="30">
                  <c:v>2011-07</c:v>
                </c:pt>
                <c:pt idx="31">
                  <c:v>2011-08</c:v>
                </c:pt>
                <c:pt idx="32">
                  <c:v>2011-09</c:v>
                </c:pt>
                <c:pt idx="33">
                  <c:v>2011-10</c:v>
                </c:pt>
                <c:pt idx="34">
                  <c:v>2011-11</c:v>
                </c:pt>
                <c:pt idx="35">
                  <c:v>2011-12</c:v>
                </c:pt>
                <c:pt idx="36">
                  <c:v>2012-01</c:v>
                </c:pt>
                <c:pt idx="37">
                  <c:v>2012-02</c:v>
                </c:pt>
                <c:pt idx="38">
                  <c:v>2012-03</c:v>
                </c:pt>
                <c:pt idx="39">
                  <c:v>2012-04</c:v>
                </c:pt>
                <c:pt idx="40">
                  <c:v>2012-05</c:v>
                </c:pt>
                <c:pt idx="41">
                  <c:v>2012-06</c:v>
                </c:pt>
                <c:pt idx="42">
                  <c:v>2012-07</c:v>
                </c:pt>
                <c:pt idx="43">
                  <c:v>2012-08</c:v>
                </c:pt>
                <c:pt idx="44">
                  <c:v>2012-09</c:v>
                </c:pt>
                <c:pt idx="45">
                  <c:v>2012-10</c:v>
                </c:pt>
                <c:pt idx="46">
                  <c:v>2012-11</c:v>
                </c:pt>
                <c:pt idx="47">
                  <c:v>2012-12</c:v>
                </c:pt>
              </c:strCache>
            </c:strRef>
          </c:cat>
          <c:val>
            <c:numRef>
              <c:f>KPI!$B$10:$AW$10</c:f>
              <c:numCache>
                <c:ptCount val="48"/>
                <c:pt idx="0">
                  <c:v>72240</c:v>
                </c:pt>
                <c:pt idx="1">
                  <c:v>64269</c:v>
                </c:pt>
                <c:pt idx="2">
                  <c:v>36298</c:v>
                </c:pt>
                <c:pt idx="3">
                  <c:v>-63104</c:v>
                </c:pt>
                <c:pt idx="4">
                  <c:v>38907</c:v>
                </c:pt>
                <c:pt idx="5">
                  <c:v>-40052</c:v>
                </c:pt>
                <c:pt idx="6">
                  <c:v>29995</c:v>
                </c:pt>
                <c:pt idx="7">
                  <c:v>-37964</c:v>
                </c:pt>
                <c:pt idx="8">
                  <c:v>2082</c:v>
                </c:pt>
                <c:pt idx="9">
                  <c:v>16972</c:v>
                </c:pt>
                <c:pt idx="10">
                  <c:v>41012</c:v>
                </c:pt>
                <c:pt idx="11">
                  <c:v>-58291</c:v>
                </c:pt>
                <c:pt idx="12">
                  <c:v>189106</c:v>
                </c:pt>
                <c:pt idx="13">
                  <c:v>92152</c:v>
                </c:pt>
                <c:pt idx="14">
                  <c:v>80199</c:v>
                </c:pt>
                <c:pt idx="15">
                  <c:v>-98754</c:v>
                </c:pt>
                <c:pt idx="16">
                  <c:v>23843</c:v>
                </c:pt>
                <c:pt idx="17">
                  <c:v>78896</c:v>
                </c:pt>
                <c:pt idx="18">
                  <c:v>30054</c:v>
                </c:pt>
                <c:pt idx="19">
                  <c:v>13082</c:v>
                </c:pt>
                <c:pt idx="20">
                  <c:v>51065</c:v>
                </c:pt>
                <c:pt idx="21">
                  <c:v>-1877</c:v>
                </c:pt>
                <c:pt idx="22">
                  <c:v>82176</c:v>
                </c:pt>
                <c:pt idx="23">
                  <c:v>-63766</c:v>
                </c:pt>
                <c:pt idx="24">
                  <c:v>83292</c:v>
                </c:pt>
                <c:pt idx="25">
                  <c:v>162351</c:v>
                </c:pt>
                <c:pt idx="26">
                  <c:v>-46591</c:v>
                </c:pt>
                <c:pt idx="27">
                  <c:v>-33661</c:v>
                </c:pt>
                <c:pt idx="28">
                  <c:v>-2591</c:v>
                </c:pt>
                <c:pt idx="29">
                  <c:v>64473</c:v>
                </c:pt>
                <c:pt idx="30">
                  <c:v>53537</c:v>
                </c:pt>
                <c:pt idx="31">
                  <c:v>33602</c:v>
                </c:pt>
                <c:pt idx="32">
                  <c:v>-4334</c:v>
                </c:pt>
                <c:pt idx="33">
                  <c:v>48730</c:v>
                </c:pt>
                <c:pt idx="34">
                  <c:v>8590</c:v>
                </c:pt>
                <c:pt idx="35">
                  <c:v>5514</c:v>
                </c:pt>
                <c:pt idx="36">
                  <c:v>16270.124522536324</c:v>
                </c:pt>
                <c:pt idx="37">
                  <c:v>-40788.82977984584</c:v>
                </c:pt>
                <c:pt idx="38">
                  <c:v>46753.77393000777</c:v>
                </c:pt>
                <c:pt idx="39">
                  <c:v>23721.658649389683</c:v>
                </c:pt>
                <c:pt idx="40">
                  <c:v>-50577.63517851152</c:v>
                </c:pt>
                <c:pt idx="41">
                  <c:v>65264.218460722375</c:v>
                </c:pt>
                <c:pt idx="42">
                  <c:v>29821.249015975198</c:v>
                </c:pt>
                <c:pt idx="43">
                  <c:v>109784.23498457804</c:v>
                </c:pt>
                <c:pt idx="44">
                  <c:v>-8413.168404906537</c:v>
                </c:pt>
                <c:pt idx="45">
                  <c:v>146473.8781648537</c:v>
                </c:pt>
                <c:pt idx="46">
                  <c:v>11253.15815081064</c:v>
                </c:pt>
                <c:pt idx="47">
                  <c:v>-2856.949167794097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KPI!$A$11</c:f>
              <c:strCache>
                <c:ptCount val="1"/>
                <c:pt idx="0">
                  <c:v>Net Income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KPI!$B$9:$AW$9</c:f>
              <c:strCache>
                <c:ptCount val="48"/>
                <c:pt idx="0">
                  <c:v>2009-01</c:v>
                </c:pt>
                <c:pt idx="1">
                  <c:v>2009-02</c:v>
                </c:pt>
                <c:pt idx="2">
                  <c:v>2009-03</c:v>
                </c:pt>
                <c:pt idx="3">
                  <c:v>2009-04</c:v>
                </c:pt>
                <c:pt idx="4">
                  <c:v>2009-05</c:v>
                </c:pt>
                <c:pt idx="5">
                  <c:v>2009-06</c:v>
                </c:pt>
                <c:pt idx="6">
                  <c:v>2009-07</c:v>
                </c:pt>
                <c:pt idx="7">
                  <c:v>2009-08</c:v>
                </c:pt>
                <c:pt idx="8">
                  <c:v>2009-09</c:v>
                </c:pt>
                <c:pt idx="9">
                  <c:v>2009-10</c:v>
                </c:pt>
                <c:pt idx="10">
                  <c:v>2009-11</c:v>
                </c:pt>
                <c:pt idx="11">
                  <c:v>2009-12</c:v>
                </c:pt>
                <c:pt idx="12">
                  <c:v>2010-01</c:v>
                </c:pt>
                <c:pt idx="13">
                  <c:v>2010-02</c:v>
                </c:pt>
                <c:pt idx="14">
                  <c:v>2010-03</c:v>
                </c:pt>
                <c:pt idx="15">
                  <c:v>2010-04</c:v>
                </c:pt>
                <c:pt idx="16">
                  <c:v>2010-05</c:v>
                </c:pt>
                <c:pt idx="17">
                  <c:v>2010-06</c:v>
                </c:pt>
                <c:pt idx="18">
                  <c:v>2010-07</c:v>
                </c:pt>
                <c:pt idx="19">
                  <c:v>2010-08</c:v>
                </c:pt>
                <c:pt idx="20">
                  <c:v>2010-09</c:v>
                </c:pt>
                <c:pt idx="21">
                  <c:v>2010-10</c:v>
                </c:pt>
                <c:pt idx="22">
                  <c:v>2010-11</c:v>
                </c:pt>
                <c:pt idx="23">
                  <c:v>2010-12</c:v>
                </c:pt>
                <c:pt idx="24">
                  <c:v>2011-01</c:v>
                </c:pt>
                <c:pt idx="25">
                  <c:v>2011-02</c:v>
                </c:pt>
                <c:pt idx="26">
                  <c:v>2011-03</c:v>
                </c:pt>
                <c:pt idx="27">
                  <c:v>2011-04</c:v>
                </c:pt>
                <c:pt idx="28">
                  <c:v>2011-05</c:v>
                </c:pt>
                <c:pt idx="29">
                  <c:v>2011-06</c:v>
                </c:pt>
                <c:pt idx="30">
                  <c:v>2011-07</c:v>
                </c:pt>
                <c:pt idx="31">
                  <c:v>2011-08</c:v>
                </c:pt>
                <c:pt idx="32">
                  <c:v>2011-09</c:v>
                </c:pt>
                <c:pt idx="33">
                  <c:v>2011-10</c:v>
                </c:pt>
                <c:pt idx="34">
                  <c:v>2011-11</c:v>
                </c:pt>
                <c:pt idx="35">
                  <c:v>2011-12</c:v>
                </c:pt>
                <c:pt idx="36">
                  <c:v>2012-01</c:v>
                </c:pt>
                <c:pt idx="37">
                  <c:v>2012-02</c:v>
                </c:pt>
                <c:pt idx="38">
                  <c:v>2012-03</c:v>
                </c:pt>
                <c:pt idx="39">
                  <c:v>2012-04</c:v>
                </c:pt>
                <c:pt idx="40">
                  <c:v>2012-05</c:v>
                </c:pt>
                <c:pt idx="41">
                  <c:v>2012-06</c:v>
                </c:pt>
                <c:pt idx="42">
                  <c:v>2012-07</c:v>
                </c:pt>
                <c:pt idx="43">
                  <c:v>2012-08</c:v>
                </c:pt>
                <c:pt idx="44">
                  <c:v>2012-09</c:v>
                </c:pt>
                <c:pt idx="45">
                  <c:v>2012-10</c:v>
                </c:pt>
                <c:pt idx="46">
                  <c:v>2012-11</c:v>
                </c:pt>
                <c:pt idx="47">
                  <c:v>2012-12</c:v>
                </c:pt>
              </c:strCache>
            </c:strRef>
          </c:cat>
          <c:val>
            <c:numRef>
              <c:f>KPI!$B$11:$AW$11</c:f>
              <c:numCache>
                <c:ptCount val="48"/>
                <c:pt idx="0">
                  <c:v>2140</c:v>
                </c:pt>
                <c:pt idx="1">
                  <c:v>-43831</c:v>
                </c:pt>
                <c:pt idx="2">
                  <c:v>-14802</c:v>
                </c:pt>
                <c:pt idx="3">
                  <c:v>-34204</c:v>
                </c:pt>
                <c:pt idx="4">
                  <c:v>49807</c:v>
                </c:pt>
                <c:pt idx="5">
                  <c:v>83848</c:v>
                </c:pt>
                <c:pt idx="6">
                  <c:v>11895</c:v>
                </c:pt>
                <c:pt idx="7">
                  <c:v>-1064</c:v>
                </c:pt>
                <c:pt idx="8">
                  <c:v>-22018</c:v>
                </c:pt>
                <c:pt idx="9">
                  <c:v>65872</c:v>
                </c:pt>
                <c:pt idx="10">
                  <c:v>20912</c:v>
                </c:pt>
                <c:pt idx="11">
                  <c:v>-22391</c:v>
                </c:pt>
                <c:pt idx="12">
                  <c:v>165006</c:v>
                </c:pt>
                <c:pt idx="13">
                  <c:v>-22948</c:v>
                </c:pt>
                <c:pt idx="14">
                  <c:v>-253901</c:v>
                </c:pt>
                <c:pt idx="15">
                  <c:v>23146</c:v>
                </c:pt>
                <c:pt idx="16">
                  <c:v>42743</c:v>
                </c:pt>
                <c:pt idx="17">
                  <c:v>106796</c:v>
                </c:pt>
                <c:pt idx="18">
                  <c:v>26954</c:v>
                </c:pt>
                <c:pt idx="19">
                  <c:v>20982</c:v>
                </c:pt>
                <c:pt idx="20">
                  <c:v>-27035</c:v>
                </c:pt>
                <c:pt idx="21">
                  <c:v>139023</c:v>
                </c:pt>
                <c:pt idx="22">
                  <c:v>31076</c:v>
                </c:pt>
                <c:pt idx="23">
                  <c:v>-18866</c:v>
                </c:pt>
                <c:pt idx="24">
                  <c:v>49192</c:v>
                </c:pt>
                <c:pt idx="25">
                  <c:v>-41749</c:v>
                </c:pt>
                <c:pt idx="26">
                  <c:v>-93691</c:v>
                </c:pt>
                <c:pt idx="27">
                  <c:v>83239</c:v>
                </c:pt>
                <c:pt idx="28">
                  <c:v>-9691</c:v>
                </c:pt>
                <c:pt idx="29">
                  <c:v>69373</c:v>
                </c:pt>
                <c:pt idx="30">
                  <c:v>34437</c:v>
                </c:pt>
                <c:pt idx="31">
                  <c:v>136502</c:v>
                </c:pt>
                <c:pt idx="32">
                  <c:v>-2434</c:v>
                </c:pt>
                <c:pt idx="33">
                  <c:v>68630</c:v>
                </c:pt>
                <c:pt idx="34">
                  <c:v>20490</c:v>
                </c:pt>
                <c:pt idx="35">
                  <c:v>14414</c:v>
                </c:pt>
                <c:pt idx="36">
                  <c:v>30240.124522536298</c:v>
                </c:pt>
                <c:pt idx="37">
                  <c:v>-13632.829779845819</c:v>
                </c:pt>
                <c:pt idx="38">
                  <c:v>-22699.22606999223</c:v>
                </c:pt>
                <c:pt idx="39">
                  <c:v>50518.65864938967</c:v>
                </c:pt>
                <c:pt idx="40">
                  <c:v>45464.36482148848</c:v>
                </c:pt>
                <c:pt idx="41">
                  <c:v>67850.21846072238</c:v>
                </c:pt>
                <c:pt idx="42">
                  <c:v>45717.2490159752</c:v>
                </c:pt>
                <c:pt idx="43">
                  <c:v>107189.23498457801</c:v>
                </c:pt>
                <c:pt idx="44">
                  <c:v>28690.831595093492</c:v>
                </c:pt>
                <c:pt idx="45">
                  <c:v>46242.8781648537</c:v>
                </c:pt>
                <c:pt idx="46">
                  <c:v>18327.15815081064</c:v>
                </c:pt>
                <c:pt idx="47">
                  <c:v>-2892.249167794073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KPI!$A$12</c:f>
              <c:strCache>
                <c:ptCount val="1"/>
                <c:pt idx="0">
                  <c:v>Cash</c:v>
                </c:pt>
              </c:strCache>
            </c:strRef>
          </c:tx>
          <c:spPr>
            <a:ln w="38100">
              <a:solidFill>
                <a:srgbClr val="90713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90713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KPI!$B$9:$AW$9</c:f>
              <c:strCache>
                <c:ptCount val="48"/>
                <c:pt idx="0">
                  <c:v>2009-01</c:v>
                </c:pt>
                <c:pt idx="1">
                  <c:v>2009-02</c:v>
                </c:pt>
                <c:pt idx="2">
                  <c:v>2009-03</c:v>
                </c:pt>
                <c:pt idx="3">
                  <c:v>2009-04</c:v>
                </c:pt>
                <c:pt idx="4">
                  <c:v>2009-05</c:v>
                </c:pt>
                <c:pt idx="5">
                  <c:v>2009-06</c:v>
                </c:pt>
                <c:pt idx="6">
                  <c:v>2009-07</c:v>
                </c:pt>
                <c:pt idx="7">
                  <c:v>2009-08</c:v>
                </c:pt>
                <c:pt idx="8">
                  <c:v>2009-09</c:v>
                </c:pt>
                <c:pt idx="9">
                  <c:v>2009-10</c:v>
                </c:pt>
                <c:pt idx="10">
                  <c:v>2009-11</c:v>
                </c:pt>
                <c:pt idx="11">
                  <c:v>2009-12</c:v>
                </c:pt>
                <c:pt idx="12">
                  <c:v>2010-01</c:v>
                </c:pt>
                <c:pt idx="13">
                  <c:v>2010-02</c:v>
                </c:pt>
                <c:pt idx="14">
                  <c:v>2010-03</c:v>
                </c:pt>
                <c:pt idx="15">
                  <c:v>2010-04</c:v>
                </c:pt>
                <c:pt idx="16">
                  <c:v>2010-05</c:v>
                </c:pt>
                <c:pt idx="17">
                  <c:v>2010-06</c:v>
                </c:pt>
                <c:pt idx="18">
                  <c:v>2010-07</c:v>
                </c:pt>
                <c:pt idx="19">
                  <c:v>2010-08</c:v>
                </c:pt>
                <c:pt idx="20">
                  <c:v>2010-09</c:v>
                </c:pt>
                <c:pt idx="21">
                  <c:v>2010-10</c:v>
                </c:pt>
                <c:pt idx="22">
                  <c:v>2010-11</c:v>
                </c:pt>
                <c:pt idx="23">
                  <c:v>2010-12</c:v>
                </c:pt>
                <c:pt idx="24">
                  <c:v>2011-01</c:v>
                </c:pt>
                <c:pt idx="25">
                  <c:v>2011-02</c:v>
                </c:pt>
                <c:pt idx="26">
                  <c:v>2011-03</c:v>
                </c:pt>
                <c:pt idx="27">
                  <c:v>2011-04</c:v>
                </c:pt>
                <c:pt idx="28">
                  <c:v>2011-05</c:v>
                </c:pt>
                <c:pt idx="29">
                  <c:v>2011-06</c:v>
                </c:pt>
                <c:pt idx="30">
                  <c:v>2011-07</c:v>
                </c:pt>
                <c:pt idx="31">
                  <c:v>2011-08</c:v>
                </c:pt>
                <c:pt idx="32">
                  <c:v>2011-09</c:v>
                </c:pt>
                <c:pt idx="33">
                  <c:v>2011-10</c:v>
                </c:pt>
                <c:pt idx="34">
                  <c:v>2011-11</c:v>
                </c:pt>
                <c:pt idx="35">
                  <c:v>2011-12</c:v>
                </c:pt>
                <c:pt idx="36">
                  <c:v>2012-01</c:v>
                </c:pt>
                <c:pt idx="37">
                  <c:v>2012-02</c:v>
                </c:pt>
                <c:pt idx="38">
                  <c:v>2012-03</c:v>
                </c:pt>
                <c:pt idx="39">
                  <c:v>2012-04</c:v>
                </c:pt>
                <c:pt idx="40">
                  <c:v>2012-05</c:v>
                </c:pt>
                <c:pt idx="41">
                  <c:v>2012-06</c:v>
                </c:pt>
                <c:pt idx="42">
                  <c:v>2012-07</c:v>
                </c:pt>
                <c:pt idx="43">
                  <c:v>2012-08</c:v>
                </c:pt>
                <c:pt idx="44">
                  <c:v>2012-09</c:v>
                </c:pt>
                <c:pt idx="45">
                  <c:v>2012-10</c:v>
                </c:pt>
                <c:pt idx="46">
                  <c:v>2012-11</c:v>
                </c:pt>
                <c:pt idx="47">
                  <c:v>2012-12</c:v>
                </c:pt>
              </c:strCache>
            </c:strRef>
          </c:cat>
          <c:val>
            <c:numRef>
              <c:f>KPI!$B$12:$AW$12</c:f>
              <c:numCache>
                <c:ptCount val="48"/>
                <c:pt idx="0">
                  <c:v>87264</c:v>
                </c:pt>
                <c:pt idx="1">
                  <c:v>136533</c:v>
                </c:pt>
                <c:pt idx="2">
                  <c:v>157831</c:v>
                </c:pt>
                <c:pt idx="3">
                  <c:v>153727</c:v>
                </c:pt>
                <c:pt idx="4">
                  <c:v>180634</c:v>
                </c:pt>
                <c:pt idx="5">
                  <c:v>123582</c:v>
                </c:pt>
                <c:pt idx="6">
                  <c:v>135577</c:v>
                </c:pt>
                <c:pt idx="7">
                  <c:v>80613</c:v>
                </c:pt>
                <c:pt idx="8">
                  <c:v>64695</c:v>
                </c:pt>
                <c:pt idx="9">
                  <c:v>90667</c:v>
                </c:pt>
                <c:pt idx="10">
                  <c:v>74679</c:v>
                </c:pt>
                <c:pt idx="11">
                  <c:v>28388</c:v>
                </c:pt>
                <c:pt idx="12">
                  <c:v>148494</c:v>
                </c:pt>
                <c:pt idx="13">
                  <c:v>228646</c:v>
                </c:pt>
                <c:pt idx="14">
                  <c:v>298845</c:v>
                </c:pt>
                <c:pt idx="15">
                  <c:v>182091</c:v>
                </c:pt>
                <c:pt idx="16">
                  <c:v>168934</c:v>
                </c:pt>
                <c:pt idx="17">
                  <c:v>238830</c:v>
                </c:pt>
                <c:pt idx="18">
                  <c:v>247884</c:v>
                </c:pt>
                <c:pt idx="19">
                  <c:v>236966</c:v>
                </c:pt>
                <c:pt idx="20">
                  <c:v>247031</c:v>
                </c:pt>
                <c:pt idx="21">
                  <c:v>225154</c:v>
                </c:pt>
                <c:pt idx="22">
                  <c:v>298330</c:v>
                </c:pt>
                <c:pt idx="23">
                  <c:v>198564</c:v>
                </c:pt>
                <c:pt idx="24">
                  <c:v>241856</c:v>
                </c:pt>
                <c:pt idx="25">
                  <c:v>394207</c:v>
                </c:pt>
                <c:pt idx="26">
                  <c:v>337616</c:v>
                </c:pt>
                <c:pt idx="27">
                  <c:v>285955</c:v>
                </c:pt>
                <c:pt idx="28">
                  <c:v>271364</c:v>
                </c:pt>
                <c:pt idx="29">
                  <c:v>309837</c:v>
                </c:pt>
                <c:pt idx="30">
                  <c:v>352374</c:v>
                </c:pt>
                <c:pt idx="31">
                  <c:v>374976</c:v>
                </c:pt>
                <c:pt idx="32">
                  <c:v>314642</c:v>
                </c:pt>
                <c:pt idx="33">
                  <c:v>352372</c:v>
                </c:pt>
                <c:pt idx="34">
                  <c:v>354962</c:v>
                </c:pt>
                <c:pt idx="35">
                  <c:v>228476</c:v>
                </c:pt>
                <c:pt idx="36">
                  <c:v>234746.12452253632</c:v>
                </c:pt>
                <c:pt idx="37">
                  <c:v>183957.2947426905</c:v>
                </c:pt>
                <c:pt idx="38">
                  <c:v>220711.06867269825</c:v>
                </c:pt>
                <c:pt idx="39">
                  <c:v>234432.72732208794</c:v>
                </c:pt>
                <c:pt idx="40">
                  <c:v>173855.09214357642</c:v>
                </c:pt>
                <c:pt idx="41">
                  <c:v>229119.31060429878</c:v>
                </c:pt>
                <c:pt idx="42">
                  <c:v>248940.55962027397</c:v>
                </c:pt>
                <c:pt idx="43">
                  <c:v>348724.794604852</c:v>
                </c:pt>
                <c:pt idx="44">
                  <c:v>330311.62619994546</c:v>
                </c:pt>
                <c:pt idx="45">
                  <c:v>466785.5043647991</c:v>
                </c:pt>
                <c:pt idx="46">
                  <c:v>468038.66251560976</c:v>
                </c:pt>
                <c:pt idx="47">
                  <c:v>455181.7133478157</c:v>
                </c:pt>
              </c:numCache>
            </c:numRef>
          </c:val>
          <c:smooth val="0"/>
        </c:ser>
        <c:marker val="1"/>
        <c:axId val="15086332"/>
        <c:axId val="1559261"/>
      </c:lineChart>
      <c:catAx>
        <c:axId val="1508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9261"/>
        <c:crosses val="autoZero"/>
        <c:auto val="1"/>
        <c:lblOffset val="100"/>
        <c:tickLblSkip val="2"/>
        <c:noMultiLvlLbl val="0"/>
      </c:catAx>
      <c:valAx>
        <c:axId val="1559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86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5"/>
          <c:y val="0.42675"/>
          <c:w val="0.1175"/>
          <c:h val="0.1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0525"/>
          <c:w val="0.849"/>
          <c:h val="0.97775"/>
        </c:manualLayout>
      </c:layout>
      <c:lineChart>
        <c:grouping val="standard"/>
        <c:varyColors val="0"/>
        <c:ser>
          <c:idx val="0"/>
          <c:order val="0"/>
          <c:tx>
            <c:strRef>
              <c:f>KPI!$A$16</c:f>
              <c:strCache>
                <c:ptCount val="1"/>
                <c:pt idx="0">
                  <c:v>Direct LER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KPI!$B$15:$AX$15</c:f>
              <c:strCache>
                <c:ptCount val="49"/>
                <c:pt idx="0">
                  <c:v>2008-12</c:v>
                </c:pt>
                <c:pt idx="1">
                  <c:v>2009-01</c:v>
                </c:pt>
                <c:pt idx="2">
                  <c:v>2009-02</c:v>
                </c:pt>
                <c:pt idx="3">
                  <c:v>2009-03</c:v>
                </c:pt>
                <c:pt idx="4">
                  <c:v>2009-04</c:v>
                </c:pt>
                <c:pt idx="5">
                  <c:v>2009-05</c:v>
                </c:pt>
                <c:pt idx="6">
                  <c:v>2009-06</c:v>
                </c:pt>
                <c:pt idx="7">
                  <c:v>2009-07</c:v>
                </c:pt>
                <c:pt idx="8">
                  <c:v>2009-08</c:v>
                </c:pt>
                <c:pt idx="9">
                  <c:v>2009-09</c:v>
                </c:pt>
                <c:pt idx="10">
                  <c:v>2009-10</c:v>
                </c:pt>
                <c:pt idx="11">
                  <c:v>2009-11</c:v>
                </c:pt>
                <c:pt idx="12">
                  <c:v>2009-12</c:v>
                </c:pt>
                <c:pt idx="13">
                  <c:v>2010-01</c:v>
                </c:pt>
                <c:pt idx="14">
                  <c:v>2010-02</c:v>
                </c:pt>
                <c:pt idx="15">
                  <c:v>2010-03</c:v>
                </c:pt>
                <c:pt idx="16">
                  <c:v>2010-04</c:v>
                </c:pt>
                <c:pt idx="17">
                  <c:v>2010-05</c:v>
                </c:pt>
                <c:pt idx="18">
                  <c:v>2010-06</c:v>
                </c:pt>
                <c:pt idx="19">
                  <c:v>2010-07</c:v>
                </c:pt>
                <c:pt idx="20">
                  <c:v>2010-08</c:v>
                </c:pt>
                <c:pt idx="21">
                  <c:v>2010-09</c:v>
                </c:pt>
                <c:pt idx="22">
                  <c:v>2010-10</c:v>
                </c:pt>
                <c:pt idx="23">
                  <c:v>2010-11</c:v>
                </c:pt>
                <c:pt idx="24">
                  <c:v>2010-12</c:v>
                </c:pt>
                <c:pt idx="25">
                  <c:v>2011-01</c:v>
                </c:pt>
                <c:pt idx="26">
                  <c:v>2011-02</c:v>
                </c:pt>
                <c:pt idx="27">
                  <c:v>2011-03</c:v>
                </c:pt>
                <c:pt idx="28">
                  <c:v>2011-04</c:v>
                </c:pt>
                <c:pt idx="29">
                  <c:v>2011-05</c:v>
                </c:pt>
                <c:pt idx="30">
                  <c:v>2011-06</c:v>
                </c:pt>
                <c:pt idx="31">
                  <c:v>2011-07</c:v>
                </c:pt>
                <c:pt idx="32">
                  <c:v>2011-08</c:v>
                </c:pt>
                <c:pt idx="33">
                  <c:v>2011-09</c:v>
                </c:pt>
                <c:pt idx="34">
                  <c:v>2011-10</c:v>
                </c:pt>
                <c:pt idx="35">
                  <c:v>2011-11</c:v>
                </c:pt>
                <c:pt idx="36">
                  <c:v>2011-12</c:v>
                </c:pt>
                <c:pt idx="37">
                  <c:v>2012-01</c:v>
                </c:pt>
                <c:pt idx="38">
                  <c:v>2012-02</c:v>
                </c:pt>
                <c:pt idx="39">
                  <c:v>2012-03</c:v>
                </c:pt>
                <c:pt idx="40">
                  <c:v>2012-04</c:v>
                </c:pt>
                <c:pt idx="41">
                  <c:v>2012-05</c:v>
                </c:pt>
                <c:pt idx="42">
                  <c:v>2012-06</c:v>
                </c:pt>
                <c:pt idx="43">
                  <c:v>2012-07</c:v>
                </c:pt>
                <c:pt idx="44">
                  <c:v>2012-08</c:v>
                </c:pt>
                <c:pt idx="45">
                  <c:v>2012-09</c:v>
                </c:pt>
                <c:pt idx="46">
                  <c:v>2012-10</c:v>
                </c:pt>
                <c:pt idx="47">
                  <c:v>2012-11</c:v>
                </c:pt>
                <c:pt idx="48">
                  <c:v>2012-12</c:v>
                </c:pt>
              </c:strCache>
            </c:strRef>
          </c:cat>
          <c:val>
            <c:numRef>
              <c:f>KPI!$B$16:$AX$16</c:f>
              <c:numCache>
                <c:ptCount val="49"/>
                <c:pt idx="0">
                  <c:v>3.4380341880341883</c:v>
                </c:pt>
                <c:pt idx="1">
                  <c:v>3.3016194331983804</c:v>
                </c:pt>
                <c:pt idx="2">
                  <c:v>3.27364185110664</c:v>
                </c:pt>
                <c:pt idx="3">
                  <c:v>3.514</c:v>
                </c:pt>
                <c:pt idx="4">
                  <c:v>3.487229862475442</c:v>
                </c:pt>
                <c:pt idx="5">
                  <c:v>3.421641791044776</c:v>
                </c:pt>
                <c:pt idx="6">
                  <c:v>3.756007393715342</c:v>
                </c:pt>
                <c:pt idx="7">
                  <c:v>3.411764705882353</c:v>
                </c:pt>
                <c:pt idx="8">
                  <c:v>3.448873483535529</c:v>
                </c:pt>
                <c:pt idx="9">
                  <c:v>3.3217993079584773</c:v>
                </c:pt>
                <c:pt idx="10">
                  <c:v>3.6685823754789273</c:v>
                </c:pt>
                <c:pt idx="11">
                  <c:v>4.088709677419355</c:v>
                </c:pt>
                <c:pt idx="12">
                  <c:v>3.928870292887029</c:v>
                </c:pt>
                <c:pt idx="13">
                  <c:v>4.477822580645161</c:v>
                </c:pt>
                <c:pt idx="14">
                  <c:v>4.4204322200392925</c:v>
                </c:pt>
                <c:pt idx="15">
                  <c:v>3.91796875</c:v>
                </c:pt>
                <c:pt idx="16">
                  <c:v>3.833641404805915</c:v>
                </c:pt>
                <c:pt idx="17">
                  <c:v>3.8404452690166977</c:v>
                </c:pt>
                <c:pt idx="18">
                  <c:v>3.7785977859778597</c:v>
                </c:pt>
                <c:pt idx="19">
                  <c:v>3.8195211786372005</c:v>
                </c:pt>
                <c:pt idx="20">
                  <c:v>3.7451669595782073</c:v>
                </c:pt>
                <c:pt idx="21">
                  <c:v>3.752707581227437</c:v>
                </c:pt>
                <c:pt idx="22">
                  <c:v>3.8297872340425534</c:v>
                </c:pt>
                <c:pt idx="23">
                  <c:v>3.8641975308641974</c:v>
                </c:pt>
                <c:pt idx="24">
                  <c:v>3.8312387791741473</c:v>
                </c:pt>
                <c:pt idx="25">
                  <c:v>3.5153256704980844</c:v>
                </c:pt>
                <c:pt idx="26">
                  <c:v>3.435114503816794</c:v>
                </c:pt>
                <c:pt idx="27">
                  <c:v>3.687382297551789</c:v>
                </c:pt>
                <c:pt idx="28">
                  <c:v>3.8661417322834644</c:v>
                </c:pt>
                <c:pt idx="29">
                  <c:v>3.789264413518887</c:v>
                </c:pt>
                <c:pt idx="30">
                  <c:v>3.748</c:v>
                </c:pt>
                <c:pt idx="31">
                  <c:v>3.8559670781893005</c:v>
                </c:pt>
                <c:pt idx="32">
                  <c:v>4.219616204690832</c:v>
                </c:pt>
                <c:pt idx="33">
                  <c:v>4.354838709677419</c:v>
                </c:pt>
                <c:pt idx="34">
                  <c:v>4.299559471365638</c:v>
                </c:pt>
                <c:pt idx="35">
                  <c:v>4.28125</c:v>
                </c:pt>
                <c:pt idx="36">
                  <c:v>4.258205689277899</c:v>
                </c:pt>
                <c:pt idx="37">
                  <c:v>4.050552119275408</c:v>
                </c:pt>
                <c:pt idx="38">
                  <c:v>4.157728404329017</c:v>
                </c:pt>
                <c:pt idx="39">
                  <c:v>4.324985418801756</c:v>
                </c:pt>
                <c:pt idx="40">
                  <c:v>4.316912775729368</c:v>
                </c:pt>
                <c:pt idx="41">
                  <c:v>4.526740518507306</c:v>
                </c:pt>
                <c:pt idx="42">
                  <c:v>4.53103797533529</c:v>
                </c:pt>
                <c:pt idx="43">
                  <c:v>4.532203381746083</c:v>
                </c:pt>
                <c:pt idx="44">
                  <c:v>4.428934782048768</c:v>
                </c:pt>
                <c:pt idx="45">
                  <c:v>4.466270725037264</c:v>
                </c:pt>
                <c:pt idx="46">
                  <c:v>4.340231706529973</c:v>
                </c:pt>
                <c:pt idx="47">
                  <c:v>4.291288279625792</c:v>
                </c:pt>
                <c:pt idx="48">
                  <c:v>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KPI!$A$17</c:f>
              <c:strCache>
                <c:ptCount val="1"/>
                <c:pt idx="0">
                  <c:v>Admin LER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KPI!$B$15:$AX$15</c:f>
              <c:strCache>
                <c:ptCount val="49"/>
                <c:pt idx="0">
                  <c:v>2008-12</c:v>
                </c:pt>
                <c:pt idx="1">
                  <c:v>2009-01</c:v>
                </c:pt>
                <c:pt idx="2">
                  <c:v>2009-02</c:v>
                </c:pt>
                <c:pt idx="3">
                  <c:v>2009-03</c:v>
                </c:pt>
                <c:pt idx="4">
                  <c:v>2009-04</c:v>
                </c:pt>
                <c:pt idx="5">
                  <c:v>2009-05</c:v>
                </c:pt>
                <c:pt idx="6">
                  <c:v>2009-06</c:v>
                </c:pt>
                <c:pt idx="7">
                  <c:v>2009-07</c:v>
                </c:pt>
                <c:pt idx="8">
                  <c:v>2009-08</c:v>
                </c:pt>
                <c:pt idx="9">
                  <c:v>2009-09</c:v>
                </c:pt>
                <c:pt idx="10">
                  <c:v>2009-10</c:v>
                </c:pt>
                <c:pt idx="11">
                  <c:v>2009-11</c:v>
                </c:pt>
                <c:pt idx="12">
                  <c:v>2009-12</c:v>
                </c:pt>
                <c:pt idx="13">
                  <c:v>2010-01</c:v>
                </c:pt>
                <c:pt idx="14">
                  <c:v>2010-02</c:v>
                </c:pt>
                <c:pt idx="15">
                  <c:v>2010-03</c:v>
                </c:pt>
                <c:pt idx="16">
                  <c:v>2010-04</c:v>
                </c:pt>
                <c:pt idx="17">
                  <c:v>2010-05</c:v>
                </c:pt>
                <c:pt idx="18">
                  <c:v>2010-06</c:v>
                </c:pt>
                <c:pt idx="19">
                  <c:v>2010-07</c:v>
                </c:pt>
                <c:pt idx="20">
                  <c:v>2010-08</c:v>
                </c:pt>
                <c:pt idx="21">
                  <c:v>2010-09</c:v>
                </c:pt>
                <c:pt idx="22">
                  <c:v>2010-10</c:v>
                </c:pt>
                <c:pt idx="23">
                  <c:v>2010-11</c:v>
                </c:pt>
                <c:pt idx="24">
                  <c:v>2010-12</c:v>
                </c:pt>
                <c:pt idx="25">
                  <c:v>2011-01</c:v>
                </c:pt>
                <c:pt idx="26">
                  <c:v>2011-02</c:v>
                </c:pt>
                <c:pt idx="27">
                  <c:v>2011-03</c:v>
                </c:pt>
                <c:pt idx="28">
                  <c:v>2011-04</c:v>
                </c:pt>
                <c:pt idx="29">
                  <c:v>2011-05</c:v>
                </c:pt>
                <c:pt idx="30">
                  <c:v>2011-06</c:v>
                </c:pt>
                <c:pt idx="31">
                  <c:v>2011-07</c:v>
                </c:pt>
                <c:pt idx="32">
                  <c:v>2011-08</c:v>
                </c:pt>
                <c:pt idx="33">
                  <c:v>2011-09</c:v>
                </c:pt>
                <c:pt idx="34">
                  <c:v>2011-10</c:v>
                </c:pt>
                <c:pt idx="35">
                  <c:v>2011-11</c:v>
                </c:pt>
                <c:pt idx="36">
                  <c:v>2011-12</c:v>
                </c:pt>
                <c:pt idx="37">
                  <c:v>2012-01</c:v>
                </c:pt>
                <c:pt idx="38">
                  <c:v>2012-02</c:v>
                </c:pt>
                <c:pt idx="39">
                  <c:v>2012-03</c:v>
                </c:pt>
                <c:pt idx="40">
                  <c:v>2012-04</c:v>
                </c:pt>
                <c:pt idx="41">
                  <c:v>2012-05</c:v>
                </c:pt>
                <c:pt idx="42">
                  <c:v>2012-06</c:v>
                </c:pt>
                <c:pt idx="43">
                  <c:v>2012-07</c:v>
                </c:pt>
                <c:pt idx="44">
                  <c:v>2012-08</c:v>
                </c:pt>
                <c:pt idx="45">
                  <c:v>2012-09</c:v>
                </c:pt>
                <c:pt idx="46">
                  <c:v>2012-10</c:v>
                </c:pt>
                <c:pt idx="47">
                  <c:v>2012-11</c:v>
                </c:pt>
                <c:pt idx="48">
                  <c:v>2012-12</c:v>
                </c:pt>
              </c:strCache>
            </c:strRef>
          </c:cat>
          <c:val>
            <c:numRef>
              <c:f>KPI!$B$17:$AX$17</c:f>
              <c:numCache>
                <c:ptCount val="49"/>
                <c:pt idx="0">
                  <c:v>3.1519337016574585</c:v>
                </c:pt>
                <c:pt idx="1">
                  <c:v>3.167130919220056</c:v>
                </c:pt>
                <c:pt idx="2">
                  <c:v>3.013333333333333</c:v>
                </c:pt>
                <c:pt idx="3">
                  <c:v>3.158291457286432</c:v>
                </c:pt>
                <c:pt idx="4">
                  <c:v>3.0506024096385542</c:v>
                </c:pt>
                <c:pt idx="5">
                  <c:v>3.1052631578947367</c:v>
                </c:pt>
                <c:pt idx="6">
                  <c:v>3.508235294117647</c:v>
                </c:pt>
                <c:pt idx="7">
                  <c:v>3.1247113163972284</c:v>
                </c:pt>
                <c:pt idx="8">
                  <c:v>3.204081632653061</c:v>
                </c:pt>
                <c:pt idx="9">
                  <c:v>2.807531380753138</c:v>
                </c:pt>
                <c:pt idx="10">
                  <c:v>2.8198380566801617</c:v>
                </c:pt>
                <c:pt idx="11">
                  <c:v>2.980544747081712</c:v>
                </c:pt>
                <c:pt idx="12">
                  <c:v>2.5547445255474455</c:v>
                </c:pt>
                <c:pt idx="13">
                  <c:v>3.119349005424955</c:v>
                </c:pt>
                <c:pt idx="14">
                  <c:v>3.2420856610800746</c:v>
                </c:pt>
                <c:pt idx="15">
                  <c:v>2.8295454545454546</c:v>
                </c:pt>
                <c:pt idx="16">
                  <c:v>3.1221995926680246</c:v>
                </c:pt>
                <c:pt idx="17">
                  <c:v>3.176348547717842</c:v>
                </c:pt>
                <c:pt idx="18">
                  <c:v>3.217948717948718</c:v>
                </c:pt>
                <c:pt idx="19">
                  <c:v>3.3796909492273732</c:v>
                </c:pt>
                <c:pt idx="20">
                  <c:v>3.4481236203090506</c:v>
                </c:pt>
                <c:pt idx="21">
                  <c:v>3.546511627906977</c:v>
                </c:pt>
                <c:pt idx="22">
                  <c:v>3.7819905213270144</c:v>
                </c:pt>
                <c:pt idx="23">
                  <c:v>3.894484412470024</c:v>
                </c:pt>
                <c:pt idx="24">
                  <c:v>3.9034653465346536</c:v>
                </c:pt>
                <c:pt idx="25">
                  <c:v>3.2825</c:v>
                </c:pt>
                <c:pt idx="26">
                  <c:v>3.2141057934508814</c:v>
                </c:pt>
                <c:pt idx="27">
                  <c:v>3.5586034912718203</c:v>
                </c:pt>
                <c:pt idx="28">
                  <c:v>3.595061728395062</c:v>
                </c:pt>
                <c:pt idx="29">
                  <c:v>3.4387254901960786</c:v>
                </c:pt>
                <c:pt idx="30">
                  <c:v>3.3349514563106797</c:v>
                </c:pt>
                <c:pt idx="31">
                  <c:v>3.3445783132530122</c:v>
                </c:pt>
                <c:pt idx="32">
                  <c:v>3.60381861575179</c:v>
                </c:pt>
                <c:pt idx="33">
                  <c:v>3.705463182897862</c:v>
                </c:pt>
                <c:pt idx="34">
                  <c:v>3.566666666666667</c:v>
                </c:pt>
                <c:pt idx="35">
                  <c:v>3.491686460807601</c:v>
                </c:pt>
                <c:pt idx="36">
                  <c:v>3.545238095238095</c:v>
                </c:pt>
                <c:pt idx="37">
                  <c:v>3.4046824944389984</c:v>
                </c:pt>
                <c:pt idx="38">
                  <c:v>3.544042775928441</c:v>
                </c:pt>
                <c:pt idx="39">
                  <c:v>3.998541884338283</c:v>
                </c:pt>
                <c:pt idx="40">
                  <c:v>3.9177488583302265</c:v>
                </c:pt>
                <c:pt idx="41">
                  <c:v>3.9804309572627137</c:v>
                </c:pt>
                <c:pt idx="42">
                  <c:v>3.841965600263349</c:v>
                </c:pt>
                <c:pt idx="43">
                  <c:v>3.7662013327924293</c:v>
                </c:pt>
                <c:pt idx="44">
                  <c:v>3.5512346590990713</c:v>
                </c:pt>
                <c:pt idx="45">
                  <c:v>3.557526231578518</c:v>
                </c:pt>
                <c:pt idx="46">
                  <c:v>3.4426074153220023</c:v>
                </c:pt>
                <c:pt idx="47">
                  <c:v>3.4723765972246103</c:v>
                </c:pt>
                <c:pt idx="48">
                  <c:v>3.5000000000000004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KPI!$A$18</c:f>
              <c:strCache>
                <c:ptCount val="1"/>
                <c:pt idx="0">
                  <c:v>Total LER</c:v>
                </c:pt>
              </c:strCache>
            </c:strRef>
          </c:tx>
          <c:spPr>
            <a:ln w="38100">
              <a:solidFill>
                <a:srgbClr val="90713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90713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KPI!$B$15:$AX$15</c:f>
              <c:strCache>
                <c:ptCount val="49"/>
                <c:pt idx="0">
                  <c:v>2008-12</c:v>
                </c:pt>
                <c:pt idx="1">
                  <c:v>2009-01</c:v>
                </c:pt>
                <c:pt idx="2">
                  <c:v>2009-02</c:v>
                </c:pt>
                <c:pt idx="3">
                  <c:v>2009-03</c:v>
                </c:pt>
                <c:pt idx="4">
                  <c:v>2009-04</c:v>
                </c:pt>
                <c:pt idx="5">
                  <c:v>2009-05</c:v>
                </c:pt>
                <c:pt idx="6">
                  <c:v>2009-06</c:v>
                </c:pt>
                <c:pt idx="7">
                  <c:v>2009-07</c:v>
                </c:pt>
                <c:pt idx="8">
                  <c:v>2009-08</c:v>
                </c:pt>
                <c:pt idx="9">
                  <c:v>2009-09</c:v>
                </c:pt>
                <c:pt idx="10">
                  <c:v>2009-10</c:v>
                </c:pt>
                <c:pt idx="11">
                  <c:v>2009-11</c:v>
                </c:pt>
                <c:pt idx="12">
                  <c:v>2009-12</c:v>
                </c:pt>
                <c:pt idx="13">
                  <c:v>2010-01</c:v>
                </c:pt>
                <c:pt idx="14">
                  <c:v>2010-02</c:v>
                </c:pt>
                <c:pt idx="15">
                  <c:v>2010-03</c:v>
                </c:pt>
                <c:pt idx="16">
                  <c:v>2010-04</c:v>
                </c:pt>
                <c:pt idx="17">
                  <c:v>2010-05</c:v>
                </c:pt>
                <c:pt idx="18">
                  <c:v>2010-06</c:v>
                </c:pt>
                <c:pt idx="19">
                  <c:v>2010-07</c:v>
                </c:pt>
                <c:pt idx="20">
                  <c:v>2010-08</c:v>
                </c:pt>
                <c:pt idx="21">
                  <c:v>2010-09</c:v>
                </c:pt>
                <c:pt idx="22">
                  <c:v>2010-10</c:v>
                </c:pt>
                <c:pt idx="23">
                  <c:v>2010-11</c:v>
                </c:pt>
                <c:pt idx="24">
                  <c:v>2010-12</c:v>
                </c:pt>
                <c:pt idx="25">
                  <c:v>2011-01</c:v>
                </c:pt>
                <c:pt idx="26">
                  <c:v>2011-02</c:v>
                </c:pt>
                <c:pt idx="27">
                  <c:v>2011-03</c:v>
                </c:pt>
                <c:pt idx="28">
                  <c:v>2011-04</c:v>
                </c:pt>
                <c:pt idx="29">
                  <c:v>2011-05</c:v>
                </c:pt>
                <c:pt idx="30">
                  <c:v>2011-06</c:v>
                </c:pt>
                <c:pt idx="31">
                  <c:v>2011-07</c:v>
                </c:pt>
                <c:pt idx="32">
                  <c:v>2011-08</c:v>
                </c:pt>
                <c:pt idx="33">
                  <c:v>2011-09</c:v>
                </c:pt>
                <c:pt idx="34">
                  <c:v>2011-10</c:v>
                </c:pt>
                <c:pt idx="35">
                  <c:v>2011-11</c:v>
                </c:pt>
                <c:pt idx="36">
                  <c:v>2011-12</c:v>
                </c:pt>
                <c:pt idx="37">
                  <c:v>2012-01</c:v>
                </c:pt>
                <c:pt idx="38">
                  <c:v>2012-02</c:v>
                </c:pt>
                <c:pt idx="39">
                  <c:v>2012-03</c:v>
                </c:pt>
                <c:pt idx="40">
                  <c:v>2012-04</c:v>
                </c:pt>
                <c:pt idx="41">
                  <c:v>2012-05</c:v>
                </c:pt>
                <c:pt idx="42">
                  <c:v>2012-06</c:v>
                </c:pt>
                <c:pt idx="43">
                  <c:v>2012-07</c:v>
                </c:pt>
                <c:pt idx="44">
                  <c:v>2012-08</c:v>
                </c:pt>
                <c:pt idx="45">
                  <c:v>2012-09</c:v>
                </c:pt>
                <c:pt idx="46">
                  <c:v>2012-10</c:v>
                </c:pt>
                <c:pt idx="47">
                  <c:v>2012-11</c:v>
                </c:pt>
                <c:pt idx="48">
                  <c:v>2012-12</c:v>
                </c:pt>
              </c:strCache>
            </c:strRef>
          </c:cat>
          <c:val>
            <c:numRef>
              <c:f>KPI!$B$18:$AX$18</c:f>
              <c:numCache>
                <c:ptCount val="49"/>
                <c:pt idx="0">
                  <c:v>1.9385542168674699</c:v>
                </c:pt>
                <c:pt idx="1">
                  <c:v>1.9120750293083235</c:v>
                </c:pt>
                <c:pt idx="2">
                  <c:v>1.8658256880733946</c:v>
                </c:pt>
                <c:pt idx="3">
                  <c:v>1.9565701559020046</c:v>
                </c:pt>
                <c:pt idx="4">
                  <c:v>1.920995670995671</c:v>
                </c:pt>
                <c:pt idx="5">
                  <c:v>1.9224318658280923</c:v>
                </c:pt>
                <c:pt idx="6">
                  <c:v>2.10351966873706</c:v>
                </c:pt>
                <c:pt idx="7">
                  <c:v>1.9255533199195172</c:v>
                </c:pt>
                <c:pt idx="8">
                  <c:v>1.9548133595284873</c:v>
                </c:pt>
                <c:pt idx="9">
                  <c:v>1.8181818181818181</c:v>
                </c:pt>
                <c:pt idx="10">
                  <c:v>1.8848425196850394</c:v>
                </c:pt>
                <c:pt idx="11">
                  <c:v>2.007920792079208</c:v>
                </c:pt>
                <c:pt idx="12">
                  <c:v>1.8304093567251463</c:v>
                </c:pt>
                <c:pt idx="13">
                  <c:v>2.1172545281220208</c:v>
                </c:pt>
                <c:pt idx="14">
                  <c:v>2.1510516252390057</c:v>
                </c:pt>
                <c:pt idx="15">
                  <c:v>1.9288461538461539</c:v>
                </c:pt>
                <c:pt idx="16">
                  <c:v>2.00968992248062</c:v>
                </c:pt>
                <c:pt idx="17">
                  <c:v>2.027424094025465</c:v>
                </c:pt>
                <c:pt idx="18">
                  <c:v>2.0277227722772277</c:v>
                </c:pt>
                <c:pt idx="19">
                  <c:v>2.0823293172690764</c:v>
                </c:pt>
                <c:pt idx="20">
                  <c:v>2.0851272015655575</c:v>
                </c:pt>
                <c:pt idx="21">
                  <c:v>2.1128048780487805</c:v>
                </c:pt>
                <c:pt idx="22">
                  <c:v>2.1906693711967544</c:v>
                </c:pt>
                <c:pt idx="23">
                  <c:v>2.2266260162601625</c:v>
                </c:pt>
                <c:pt idx="24">
                  <c:v>2.2206035379812694</c:v>
                </c:pt>
                <c:pt idx="25">
                  <c:v>1.990238611713666</c:v>
                </c:pt>
                <c:pt idx="26">
                  <c:v>1.9543973941368078</c:v>
                </c:pt>
                <c:pt idx="27">
                  <c:v>2.1008583690987126</c:v>
                </c:pt>
                <c:pt idx="28">
                  <c:v>2.1511500547645124</c:v>
                </c:pt>
                <c:pt idx="29">
                  <c:v>2.092206366630077</c:v>
                </c:pt>
                <c:pt idx="30">
                  <c:v>2.0548245614035086</c:v>
                </c:pt>
                <c:pt idx="31">
                  <c:v>2.0799112097669257</c:v>
                </c:pt>
                <c:pt idx="32">
                  <c:v>2.2286036036036037</c:v>
                </c:pt>
                <c:pt idx="33">
                  <c:v>2.285553047404063</c:v>
                </c:pt>
                <c:pt idx="34">
                  <c:v>2.2334096109839816</c:v>
                </c:pt>
                <c:pt idx="35">
                  <c:v>2.2071346375143843</c:v>
                </c:pt>
                <c:pt idx="36">
                  <c:v>2.218928164196123</c:v>
                </c:pt>
                <c:pt idx="37">
                  <c:v>2.136381513386138</c:v>
                </c:pt>
                <c:pt idx="38">
                  <c:v>2.198697466580568</c:v>
                </c:pt>
                <c:pt idx="39">
                  <c:v>2.3613806066943104</c:v>
                </c:pt>
                <c:pt idx="40">
                  <c:v>2.3377154252803285</c:v>
                </c:pt>
                <c:pt idx="41">
                  <c:v>2.4001553918833034</c:v>
                </c:pt>
                <c:pt idx="42">
                  <c:v>2.361058401265139</c:v>
                </c:pt>
                <c:pt idx="43">
                  <c:v>2.3387563562782994</c:v>
                </c:pt>
                <c:pt idx="44">
                  <c:v>2.2532671783272047</c:v>
                </c:pt>
                <c:pt idx="45">
                  <c:v>2.262149000005672</c:v>
                </c:pt>
                <c:pt idx="46">
                  <c:v>2.2028701534404216</c:v>
                </c:pt>
                <c:pt idx="47">
                  <c:v>2.2030909670166436</c:v>
                </c:pt>
                <c:pt idx="48">
                  <c:v>2.2037037037037037</c:v>
                </c:pt>
              </c:numCache>
            </c:numRef>
          </c:val>
          <c:smooth val="0"/>
        </c:ser>
        <c:marker val="1"/>
        <c:axId val="14033350"/>
        <c:axId val="59191287"/>
      </c:lineChart>
      <c:lineChart>
        <c:grouping val="standard"/>
        <c:varyColors val="0"/>
        <c:ser>
          <c:idx val="3"/>
          <c:order val="3"/>
          <c:tx>
            <c:strRef>
              <c:f>KPI!$A$19</c:f>
              <c:strCache>
                <c:ptCount val="1"/>
                <c:pt idx="0">
                  <c:v>Net Income %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CC99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KPI!$B$15:$AX$15</c:f>
              <c:strCache>
                <c:ptCount val="49"/>
                <c:pt idx="0">
                  <c:v>2008-12</c:v>
                </c:pt>
                <c:pt idx="1">
                  <c:v>2009-01</c:v>
                </c:pt>
                <c:pt idx="2">
                  <c:v>2009-02</c:v>
                </c:pt>
                <c:pt idx="3">
                  <c:v>2009-03</c:v>
                </c:pt>
                <c:pt idx="4">
                  <c:v>2009-04</c:v>
                </c:pt>
                <c:pt idx="5">
                  <c:v>2009-05</c:v>
                </c:pt>
                <c:pt idx="6">
                  <c:v>2009-06</c:v>
                </c:pt>
                <c:pt idx="7">
                  <c:v>2009-07</c:v>
                </c:pt>
                <c:pt idx="8">
                  <c:v>2009-08</c:v>
                </c:pt>
                <c:pt idx="9">
                  <c:v>2009-09</c:v>
                </c:pt>
                <c:pt idx="10">
                  <c:v>2009-10</c:v>
                </c:pt>
                <c:pt idx="11">
                  <c:v>2009-11</c:v>
                </c:pt>
                <c:pt idx="12">
                  <c:v>2009-12</c:v>
                </c:pt>
                <c:pt idx="13">
                  <c:v>2010-01</c:v>
                </c:pt>
                <c:pt idx="14">
                  <c:v>2010-02</c:v>
                </c:pt>
                <c:pt idx="15">
                  <c:v>2010-03</c:v>
                </c:pt>
                <c:pt idx="16">
                  <c:v>2010-04</c:v>
                </c:pt>
                <c:pt idx="17">
                  <c:v>2010-05</c:v>
                </c:pt>
                <c:pt idx="18">
                  <c:v>2010-06</c:v>
                </c:pt>
                <c:pt idx="19">
                  <c:v>2010-07</c:v>
                </c:pt>
                <c:pt idx="20">
                  <c:v>2010-08</c:v>
                </c:pt>
                <c:pt idx="21">
                  <c:v>2010-09</c:v>
                </c:pt>
                <c:pt idx="22">
                  <c:v>2010-10</c:v>
                </c:pt>
                <c:pt idx="23">
                  <c:v>2010-11</c:v>
                </c:pt>
                <c:pt idx="24">
                  <c:v>2010-12</c:v>
                </c:pt>
                <c:pt idx="25">
                  <c:v>2011-01</c:v>
                </c:pt>
                <c:pt idx="26">
                  <c:v>2011-02</c:v>
                </c:pt>
                <c:pt idx="27">
                  <c:v>2011-03</c:v>
                </c:pt>
                <c:pt idx="28">
                  <c:v>2011-04</c:v>
                </c:pt>
                <c:pt idx="29">
                  <c:v>2011-05</c:v>
                </c:pt>
                <c:pt idx="30">
                  <c:v>2011-06</c:v>
                </c:pt>
                <c:pt idx="31">
                  <c:v>2011-07</c:v>
                </c:pt>
                <c:pt idx="32">
                  <c:v>2011-08</c:v>
                </c:pt>
                <c:pt idx="33">
                  <c:v>2011-09</c:v>
                </c:pt>
                <c:pt idx="34">
                  <c:v>2011-10</c:v>
                </c:pt>
                <c:pt idx="35">
                  <c:v>2011-11</c:v>
                </c:pt>
                <c:pt idx="36">
                  <c:v>2011-12</c:v>
                </c:pt>
                <c:pt idx="37">
                  <c:v>2012-01</c:v>
                </c:pt>
                <c:pt idx="38">
                  <c:v>2012-02</c:v>
                </c:pt>
                <c:pt idx="39">
                  <c:v>2012-03</c:v>
                </c:pt>
                <c:pt idx="40">
                  <c:v>2012-04</c:v>
                </c:pt>
                <c:pt idx="41">
                  <c:v>2012-05</c:v>
                </c:pt>
                <c:pt idx="42">
                  <c:v>2012-06</c:v>
                </c:pt>
                <c:pt idx="43">
                  <c:v>2012-07</c:v>
                </c:pt>
                <c:pt idx="44">
                  <c:v>2012-08</c:v>
                </c:pt>
                <c:pt idx="45">
                  <c:v>2012-09</c:v>
                </c:pt>
                <c:pt idx="46">
                  <c:v>2012-10</c:v>
                </c:pt>
                <c:pt idx="47">
                  <c:v>2012-11</c:v>
                </c:pt>
                <c:pt idx="48">
                  <c:v>2012-12</c:v>
                </c:pt>
              </c:strCache>
            </c:strRef>
          </c:cat>
          <c:val>
            <c:numRef>
              <c:f>KPI!$B$19:$AX$19</c:f>
              <c:numCache>
                <c:ptCount val="49"/>
                <c:pt idx="0">
                  <c:v>0.026421638822593477</c:v>
                </c:pt>
                <c:pt idx="1">
                  <c:v>0.022306201550387598</c:v>
                </c:pt>
                <c:pt idx="2">
                  <c:v>0.010020288724151385</c:v>
                </c:pt>
                <c:pt idx="3">
                  <c:v>0.041979166666666665</c:v>
                </c:pt>
                <c:pt idx="4">
                  <c:v>0.0425336056442629</c:v>
                </c:pt>
                <c:pt idx="5">
                  <c:v>0.054587783467446964</c:v>
                </c:pt>
                <c:pt idx="6">
                  <c:v>0.10060027192386131</c:v>
                </c:pt>
                <c:pt idx="7">
                  <c:v>0.05840704225352113</c:v>
                </c:pt>
                <c:pt idx="8">
                  <c:v>0.0713592032967033</c:v>
                </c:pt>
                <c:pt idx="9">
                  <c:v>0.03223287184948527</c:v>
                </c:pt>
                <c:pt idx="10">
                  <c:v>0.04348070796460177</c:v>
                </c:pt>
                <c:pt idx="11">
                  <c:v>0.08545953456061132</c:v>
                </c:pt>
                <c:pt idx="12">
                  <c:v>0.034430361618331545</c:v>
                </c:pt>
                <c:pt idx="13">
                  <c:v>0.08283658458586504</c:v>
                </c:pt>
                <c:pt idx="14">
                  <c:v>0.08805064485687324</c:v>
                </c:pt>
                <c:pt idx="15">
                  <c:v>0.013157317859445518</c:v>
                </c:pt>
                <c:pt idx="16">
                  <c:v>0.03060929217337075</c:v>
                </c:pt>
                <c:pt idx="17">
                  <c:v>0.028186881188118813</c:v>
                </c:pt>
                <c:pt idx="18">
                  <c:v>0.035429636533084806</c:v>
                </c:pt>
                <c:pt idx="19">
                  <c:v>0.03992176870748299</c:v>
                </c:pt>
                <c:pt idx="20">
                  <c:v>0.046111348383160465</c:v>
                </c:pt>
                <c:pt idx="21">
                  <c:v>0.045567820392890555</c:v>
                </c:pt>
                <c:pt idx="22">
                  <c:v>0.06708075864178648</c:v>
                </c:pt>
                <c:pt idx="23">
                  <c:v>0.06932054380664653</c:v>
                </c:pt>
                <c:pt idx="24">
                  <c:v>0.07228544834005585</c:v>
                </c:pt>
                <c:pt idx="25">
                  <c:v>0.04035893902859111</c:v>
                </c:pt>
                <c:pt idx="26">
                  <c:v>0.03444012605042017</c:v>
                </c:pt>
                <c:pt idx="27">
                  <c:v>0.08931640759930916</c:v>
                </c:pt>
                <c:pt idx="28">
                  <c:v>0.1114599510318293</c:v>
                </c:pt>
                <c:pt idx="29">
                  <c:v>0.09511611289746338</c:v>
                </c:pt>
                <c:pt idx="30">
                  <c:v>0.08329341099381143</c:v>
                </c:pt>
                <c:pt idx="31">
                  <c:v>0.08680749448934606</c:v>
                </c:pt>
                <c:pt idx="32">
                  <c:v>0.12422669491525423</c:v>
                </c:pt>
                <c:pt idx="33">
                  <c:v>0.1306982638888889</c:v>
                </c:pt>
                <c:pt idx="34">
                  <c:v>0.10952684323550466</c:v>
                </c:pt>
                <c:pt idx="35">
                  <c:v>0.10665415162454873</c:v>
                </c:pt>
                <c:pt idx="36">
                  <c:v>0.1172714948269711</c:v>
                </c:pt>
                <c:pt idx="37">
                  <c:v>0.10961080131724564</c:v>
                </c:pt>
                <c:pt idx="38">
                  <c:v>0.11907954280069444</c:v>
                </c:pt>
                <c:pt idx="39">
                  <c:v>0.14360860829359642</c:v>
                </c:pt>
                <c:pt idx="40">
                  <c:v>0.13082944152276016</c:v>
                </c:pt>
                <c:pt idx="41">
                  <c:v>0.14862782733504815</c:v>
                </c:pt>
                <c:pt idx="42">
                  <c:v>0.1464777310263109</c:v>
                </c:pt>
                <c:pt idx="43">
                  <c:v>0.14897171601995265</c:v>
                </c:pt>
                <c:pt idx="44">
                  <c:v>0.13716696468947037</c:v>
                </c:pt>
                <c:pt idx="45">
                  <c:v>0.14647680707787192</c:v>
                </c:pt>
                <c:pt idx="46">
                  <c:v>0.1378957479961956</c:v>
                </c:pt>
                <c:pt idx="47">
                  <c:v>0.13631917832163776</c:v>
                </c:pt>
                <c:pt idx="48">
                  <c:v>0.13006078336451715</c:v>
                </c:pt>
              </c:numCache>
            </c:numRef>
          </c:val>
          <c:smooth val="0"/>
        </c:ser>
        <c:marker val="1"/>
        <c:axId val="62959536"/>
        <c:axId val="29764913"/>
      </c:lineChart>
      <c:catAx>
        <c:axId val="1403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191287"/>
        <c:crosses val="autoZero"/>
        <c:auto val="1"/>
        <c:lblOffset val="100"/>
        <c:tickLblSkip val="2"/>
        <c:noMultiLvlLbl val="0"/>
      </c:catAx>
      <c:valAx>
        <c:axId val="59191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33350"/>
        <c:crossesAt val="1"/>
        <c:crossBetween val="between"/>
        <c:dispUnits/>
      </c:valAx>
      <c:catAx>
        <c:axId val="62959536"/>
        <c:scaling>
          <c:orientation val="minMax"/>
        </c:scaling>
        <c:axPos val="b"/>
        <c:delete val="1"/>
        <c:majorTickMark val="out"/>
        <c:minorTickMark val="none"/>
        <c:tickLblPos val="nextTo"/>
        <c:crossAx val="29764913"/>
        <c:crosses val="autoZero"/>
        <c:auto val="1"/>
        <c:lblOffset val="100"/>
        <c:tickLblSkip val="1"/>
        <c:noMultiLvlLbl val="0"/>
      </c:catAx>
      <c:valAx>
        <c:axId val="29764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595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05"/>
          <c:w val="0.13225"/>
          <c:h val="0.1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0.615</cdr:x>
      <cdr:y>0.0235</cdr:y>
    </cdr:from>
    <cdr:to>
      <cdr:x>0.62125</cdr:x>
      <cdr:y>0.8875</cdr:y>
    </cdr:to>
    <cdr:sp>
      <cdr:nvSpPr>
        <cdr:cNvPr id="1" name="Straight Connector 2"/>
        <cdr:cNvSpPr>
          <a:spLocks/>
        </cdr:cNvSpPr>
      </cdr:nvSpPr>
      <cdr:spPr>
        <a:xfrm flipH="1" flipV="1">
          <a:off x="5324475" y="133350"/>
          <a:ext cx="57150" cy="51149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0.65225</cdr:x>
      <cdr:y>0.02525</cdr:y>
    </cdr:from>
    <cdr:to>
      <cdr:x>0.66525</cdr:x>
      <cdr:y>0.96025</cdr:y>
    </cdr:to>
    <cdr:sp>
      <cdr:nvSpPr>
        <cdr:cNvPr id="1" name="Straight Connector 2"/>
        <cdr:cNvSpPr>
          <a:spLocks/>
        </cdr:cNvSpPr>
      </cdr:nvSpPr>
      <cdr:spPr>
        <a:xfrm flipH="1" flipV="1">
          <a:off x="5638800" y="142875"/>
          <a:ext cx="114300" cy="55340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0.63325</cdr:x>
      <cdr:y>0</cdr:y>
    </cdr:from>
    <cdr:to>
      <cdr:x>0.63775</cdr:x>
      <cdr:y>0.89175</cdr:y>
    </cdr:to>
    <cdr:sp>
      <cdr:nvSpPr>
        <cdr:cNvPr id="1" name="Straight Connector 2"/>
        <cdr:cNvSpPr>
          <a:spLocks/>
        </cdr:cNvSpPr>
      </cdr:nvSpPr>
      <cdr:spPr>
        <a:xfrm flipH="1" flipV="1">
          <a:off x="5476875" y="0"/>
          <a:ext cx="38100" cy="527685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="125" zoomScaleNormal="125" zoomScalePageLayoutView="0" workbookViewId="0" topLeftCell="A1">
      <selection activeCell="A7" sqref="A7"/>
    </sheetView>
  </sheetViews>
  <sheetFormatPr defaultColWidth="8.8515625" defaultRowHeight="12.75"/>
  <cols>
    <col min="1" max="1" width="24.421875" style="0" customWidth="1"/>
    <col min="2" max="3" width="8.8515625" style="0" customWidth="1"/>
    <col min="4" max="4" width="14.00390625" style="0" customWidth="1"/>
    <col min="5" max="5" width="15.8515625" style="0" customWidth="1"/>
    <col min="6" max="6" width="14.00390625" style="0" customWidth="1"/>
  </cols>
  <sheetData>
    <row r="1" spans="1:6" ht="15.75">
      <c r="A1" s="39" t="s">
        <v>155</v>
      </c>
      <c r="B1" s="40"/>
      <c r="C1" s="40"/>
      <c r="D1" s="40"/>
      <c r="E1" s="40"/>
      <c r="F1" s="40"/>
    </row>
    <row r="2" spans="1:6" ht="15.75">
      <c r="A2" s="39" t="s">
        <v>198</v>
      </c>
      <c r="B2" s="40"/>
      <c r="C2" s="40"/>
      <c r="D2" s="40"/>
      <c r="E2" s="39"/>
      <c r="F2" s="40"/>
    </row>
    <row r="3" spans="1:6" ht="12.75">
      <c r="A3" s="68" t="s">
        <v>196</v>
      </c>
      <c r="B3" s="40"/>
      <c r="C3" s="40"/>
      <c r="D3" s="40"/>
      <c r="E3" s="40"/>
      <c r="F3" s="40"/>
    </row>
    <row r="4" spans="1:6" ht="12.75">
      <c r="A4" s="40"/>
      <c r="B4" s="40"/>
      <c r="C4" s="40"/>
      <c r="D4" s="40"/>
      <c r="E4" s="40"/>
      <c r="F4" s="40"/>
    </row>
    <row r="5" spans="1:6" ht="12.75">
      <c r="A5" s="41" t="s">
        <v>143</v>
      </c>
      <c r="B5" s="42" t="s">
        <v>144</v>
      </c>
      <c r="C5" s="40"/>
      <c r="D5" s="40"/>
      <c r="E5" s="40"/>
      <c r="F5" s="40"/>
    </row>
    <row r="6" spans="1:6" ht="12.75">
      <c r="A6" s="41"/>
      <c r="B6" s="96" t="s">
        <v>208</v>
      </c>
      <c r="C6" s="40"/>
      <c r="D6" s="40"/>
      <c r="E6" s="40"/>
      <c r="F6" s="40"/>
    </row>
    <row r="7" spans="1:6" ht="12.75">
      <c r="A7" s="41"/>
      <c r="B7" s="43" t="s">
        <v>145</v>
      </c>
      <c r="C7" s="40"/>
      <c r="D7" s="40"/>
      <c r="E7" s="40"/>
      <c r="F7" s="40"/>
    </row>
    <row r="8" spans="1:6" ht="15">
      <c r="A8" s="41"/>
      <c r="B8" s="44" t="s">
        <v>146</v>
      </c>
      <c r="C8" s="40"/>
      <c r="E8" s="45"/>
      <c r="F8" s="40"/>
    </row>
    <row r="9" spans="1:6" ht="12.75">
      <c r="A9" s="41"/>
      <c r="B9" s="46"/>
      <c r="C9" s="40"/>
      <c r="D9" s="47" t="s">
        <v>147</v>
      </c>
      <c r="F9" s="40"/>
    </row>
    <row r="10" spans="1:6" ht="12.75">
      <c r="A10" s="40"/>
      <c r="B10" s="46"/>
      <c r="C10" s="40"/>
      <c r="D10" s="48" t="s">
        <v>148</v>
      </c>
      <c r="F10" s="40"/>
    </row>
    <row r="11" spans="1:6" ht="12.75">
      <c r="A11" s="49" t="s">
        <v>149</v>
      </c>
      <c r="B11" s="96" t="s">
        <v>208</v>
      </c>
      <c r="C11" s="40"/>
      <c r="D11" s="69">
        <f>'Rolling 12'!AL38</f>
        <v>0.1172714948269711</v>
      </c>
      <c r="E11" s="50"/>
      <c r="F11" s="51"/>
    </row>
    <row r="12" spans="1:6" ht="12.75">
      <c r="A12" s="49" t="s">
        <v>150</v>
      </c>
      <c r="B12" s="43" t="str">
        <f>B7</f>
        <v>OK</v>
      </c>
      <c r="C12" s="40"/>
      <c r="D12" s="51">
        <f>'Rolling 12'!AL7</f>
        <v>2803000</v>
      </c>
      <c r="E12" s="51"/>
      <c r="F12" s="40"/>
    </row>
    <row r="13" spans="1:6" ht="12.75">
      <c r="A13" s="97" t="s">
        <v>209</v>
      </c>
      <c r="B13" s="96" t="s">
        <v>208</v>
      </c>
      <c r="C13" s="40"/>
      <c r="D13" s="51">
        <f>'Rolling 12'!AL25</f>
        <v>1123000</v>
      </c>
      <c r="E13" s="51"/>
      <c r="F13" s="40"/>
    </row>
    <row r="14" spans="1:6" ht="12.75">
      <c r="A14" s="97" t="s">
        <v>28</v>
      </c>
      <c r="B14" s="96" t="s">
        <v>208</v>
      </c>
      <c r="C14" s="40"/>
      <c r="D14" s="52">
        <f>'Rolling 12'!AL49</f>
        <v>48412</v>
      </c>
      <c r="E14" s="52"/>
      <c r="F14" s="52"/>
    </row>
    <row r="15" spans="1:6" ht="12.75">
      <c r="A15" s="49" t="s">
        <v>152</v>
      </c>
      <c r="B15" s="42" t="s">
        <v>144</v>
      </c>
      <c r="C15" s="40"/>
      <c r="D15" s="53">
        <f>'BS'!AW55</f>
        <v>20.294117647058822</v>
      </c>
      <c r="E15" s="53"/>
      <c r="F15" s="40"/>
    </row>
    <row r="16" spans="1:6" ht="12.75">
      <c r="A16" s="49" t="s">
        <v>63</v>
      </c>
      <c r="B16" s="96" t="s">
        <v>208</v>
      </c>
      <c r="C16" s="40"/>
      <c r="D16" s="51">
        <f>'BS'!AW58</f>
        <v>228476</v>
      </c>
      <c r="E16" s="54">
        <f>D16/'BS'!AW59</f>
        <v>1.778023346303502</v>
      </c>
      <c r="F16" s="40"/>
    </row>
    <row r="17" spans="1:6" ht="12.75">
      <c r="A17" s="55"/>
      <c r="B17" s="46"/>
      <c r="C17" s="40"/>
      <c r="D17" s="51"/>
      <c r="E17" s="54"/>
      <c r="F17" s="40"/>
    </row>
    <row r="18" spans="1:6" ht="12.75">
      <c r="A18" s="55"/>
      <c r="B18" s="46"/>
      <c r="C18" s="40"/>
      <c r="D18" s="56"/>
      <c r="E18" s="54"/>
      <c r="F18" s="40"/>
    </row>
    <row r="19" spans="1:6" ht="12.75">
      <c r="A19" s="40"/>
      <c r="B19" s="40"/>
      <c r="C19" s="40"/>
      <c r="D19" s="56"/>
      <c r="E19" s="54"/>
      <c r="F19" s="40"/>
    </row>
    <row r="20" spans="1:6" ht="12.75">
      <c r="A20" s="41" t="s">
        <v>154</v>
      </c>
      <c r="B20" s="40"/>
      <c r="C20" s="40"/>
      <c r="D20" s="56"/>
      <c r="E20" s="56"/>
      <c r="F20" s="40"/>
    </row>
    <row r="21" spans="1:6" ht="12.75">
      <c r="A21" s="41"/>
      <c r="B21" s="40"/>
      <c r="C21" s="40"/>
      <c r="D21" s="40"/>
      <c r="E21" s="40"/>
      <c r="F21" s="40"/>
    </row>
    <row r="22" spans="1:6" ht="12.75">
      <c r="A22" s="41" t="s">
        <v>149</v>
      </c>
      <c r="B22" s="96" t="s">
        <v>208</v>
      </c>
      <c r="C22" s="40"/>
      <c r="D22" s="40"/>
      <c r="E22" s="40"/>
      <c r="F22" s="40"/>
    </row>
    <row r="23" spans="1:6" ht="12.75">
      <c r="A23" s="63" t="s">
        <v>210</v>
      </c>
      <c r="B23" s="57"/>
      <c r="C23" s="40"/>
      <c r="D23" s="40"/>
      <c r="E23" s="40"/>
      <c r="F23" s="40"/>
    </row>
    <row r="24" spans="1:6" ht="12.75">
      <c r="A24" s="41"/>
      <c r="B24" s="40"/>
      <c r="C24" s="40"/>
      <c r="D24" s="40"/>
      <c r="E24" s="40"/>
      <c r="F24" s="40"/>
    </row>
    <row r="25" spans="1:6" ht="12.75">
      <c r="A25" s="41" t="s">
        <v>150</v>
      </c>
      <c r="B25" s="43" t="s">
        <v>145</v>
      </c>
      <c r="C25" s="40"/>
      <c r="D25" s="40"/>
      <c r="E25" s="40"/>
      <c r="F25" s="40"/>
    </row>
    <row r="26" spans="1:6" ht="12.75">
      <c r="A26" s="63" t="s">
        <v>211</v>
      </c>
      <c r="B26" s="57"/>
      <c r="C26" s="40"/>
      <c r="D26" s="40"/>
      <c r="E26" s="40"/>
      <c r="F26" s="40"/>
    </row>
    <row r="27" spans="1:6" ht="12.75">
      <c r="A27" s="63"/>
      <c r="B27" s="57"/>
      <c r="C27" s="40"/>
      <c r="D27" s="40"/>
      <c r="E27" s="40"/>
      <c r="F27" s="40"/>
    </row>
    <row r="28" spans="1:6" ht="12.75">
      <c r="A28" s="57"/>
      <c r="B28" s="57"/>
      <c r="C28" s="40"/>
      <c r="D28" s="40"/>
      <c r="E28" s="40"/>
      <c r="F28" s="40"/>
    </row>
    <row r="29" spans="1:6" ht="12.75">
      <c r="A29" s="41" t="s">
        <v>151</v>
      </c>
      <c r="B29" s="96" t="s">
        <v>208</v>
      </c>
      <c r="C29" s="40"/>
      <c r="D29" s="40"/>
      <c r="E29" s="40"/>
      <c r="F29" s="40"/>
    </row>
    <row r="30" spans="1:6" ht="12.75">
      <c r="A30" s="63" t="s">
        <v>212</v>
      </c>
      <c r="B30" s="57"/>
      <c r="C30" s="40"/>
      <c r="D30" s="40"/>
      <c r="E30" s="40"/>
      <c r="F30" s="40"/>
    </row>
    <row r="31" spans="1:6" ht="12.75">
      <c r="A31" s="63"/>
      <c r="B31" s="57"/>
      <c r="C31" s="40"/>
      <c r="D31" s="40"/>
      <c r="E31" s="40"/>
      <c r="F31" s="40"/>
    </row>
    <row r="32" spans="1:6" ht="12.75">
      <c r="A32" s="57"/>
      <c r="B32" s="57"/>
      <c r="C32" s="40"/>
      <c r="D32" s="40"/>
      <c r="E32" s="40"/>
      <c r="F32" s="40"/>
    </row>
    <row r="33" spans="1:6" ht="12.75">
      <c r="A33" s="70" t="s">
        <v>197</v>
      </c>
      <c r="B33" s="96" t="s">
        <v>208</v>
      </c>
      <c r="C33" s="40"/>
      <c r="D33" s="40"/>
      <c r="E33" s="40"/>
      <c r="F33" s="40"/>
    </row>
    <row r="34" spans="1:6" ht="12.75">
      <c r="A34" s="63" t="s">
        <v>213</v>
      </c>
      <c r="B34" s="46"/>
      <c r="C34" s="40"/>
      <c r="D34" s="40"/>
      <c r="E34" s="40"/>
      <c r="F34" s="40"/>
    </row>
    <row r="35" spans="1:6" ht="12.75">
      <c r="A35" s="63"/>
      <c r="B35" s="57"/>
      <c r="C35" s="40"/>
      <c r="D35" s="40"/>
      <c r="E35" s="40"/>
      <c r="F35" s="40"/>
    </row>
    <row r="36" spans="1:6" ht="12.75">
      <c r="A36" s="41"/>
      <c r="B36" s="40"/>
      <c r="C36" s="40"/>
      <c r="D36" s="40"/>
      <c r="E36" s="40"/>
      <c r="F36" s="40"/>
    </row>
    <row r="37" spans="1:6" ht="12.75">
      <c r="A37" s="49" t="s">
        <v>152</v>
      </c>
      <c r="B37" s="42" t="s">
        <v>144</v>
      </c>
      <c r="C37" s="40"/>
      <c r="D37" s="40"/>
      <c r="E37" s="40"/>
      <c r="F37" s="40"/>
    </row>
    <row r="38" spans="1:6" ht="12.75">
      <c r="A38" s="63" t="s">
        <v>214</v>
      </c>
      <c r="B38" s="57"/>
      <c r="C38" s="40"/>
      <c r="D38" s="40"/>
      <c r="E38" s="40"/>
      <c r="F38" s="40"/>
    </row>
    <row r="39" spans="1:6" ht="12.75">
      <c r="A39" s="63"/>
      <c r="B39" s="57"/>
      <c r="C39" s="40"/>
      <c r="D39" s="40"/>
      <c r="E39" s="40"/>
      <c r="F39" s="40"/>
    </row>
    <row r="40" spans="1:6" ht="12.75">
      <c r="A40" s="41"/>
      <c r="B40" s="40"/>
      <c r="C40" s="40"/>
      <c r="D40" s="40"/>
      <c r="E40" s="40"/>
      <c r="F40" s="40"/>
    </row>
    <row r="41" spans="1:6" ht="12.75">
      <c r="A41" s="49" t="s">
        <v>153</v>
      </c>
      <c r="B41" s="96" t="s">
        <v>208</v>
      </c>
      <c r="C41" s="40"/>
      <c r="D41" s="40"/>
      <c r="E41" s="40"/>
      <c r="F41" s="40"/>
    </row>
    <row r="42" spans="1:6" ht="15">
      <c r="A42" s="67" t="s">
        <v>215</v>
      </c>
      <c r="B42" s="45"/>
      <c r="C42" s="45"/>
      <c r="D42" s="45"/>
      <c r="E42" s="45"/>
      <c r="F42" s="45"/>
    </row>
    <row r="43" ht="12.75">
      <c r="A43" s="67"/>
    </row>
    <row r="44" ht="12.75">
      <c r="A44" s="6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71"/>
  <sheetViews>
    <sheetView zoomScale="110" zoomScaleNormal="110" zoomScalePageLayoutView="0" workbookViewId="0" topLeftCell="A1">
      <pane xSplit="1" ySplit="5" topLeftCell="AR2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" sqref="C2"/>
    </sheetView>
  </sheetViews>
  <sheetFormatPr defaultColWidth="9.140625" defaultRowHeight="12.75"/>
  <cols>
    <col min="1" max="1" width="51.00390625" style="5" bestFit="1" customWidth="1"/>
    <col min="2" max="2" width="13.28125" style="5" bestFit="1" customWidth="1"/>
    <col min="3" max="3" width="12.421875" style="5" bestFit="1" customWidth="1"/>
    <col min="4" max="4" width="13.28125" style="5" bestFit="1" customWidth="1"/>
    <col min="5" max="5" width="13.421875" style="5" bestFit="1" customWidth="1"/>
    <col min="6" max="6" width="13.7109375" style="5" bestFit="1" customWidth="1"/>
    <col min="7" max="7" width="14.00390625" style="5" bestFit="1" customWidth="1"/>
    <col min="8" max="8" width="12.421875" style="5" bestFit="1" customWidth="1"/>
    <col min="9" max="9" width="13.28125" style="5" bestFit="1" customWidth="1"/>
    <col min="10" max="12" width="12.421875" style="5" bestFit="1" customWidth="1"/>
    <col min="13" max="13" width="12.8515625" style="5" bestFit="1" customWidth="1"/>
    <col min="14" max="16" width="12.8515625" style="5" customWidth="1"/>
    <col min="17" max="17" width="11.8515625" style="5" customWidth="1"/>
    <col min="18" max="18" width="13.28125" style="5" customWidth="1"/>
    <col min="19" max="19" width="13.00390625" style="5" customWidth="1"/>
    <col min="20" max="20" width="13.28125" style="5" customWidth="1"/>
    <col min="21" max="21" width="13.421875" style="5" customWidth="1"/>
    <col min="22" max="23" width="13.00390625" style="5" customWidth="1"/>
    <col min="24" max="24" width="12.7109375" style="5" customWidth="1"/>
    <col min="25" max="25" width="13.421875" style="5" bestFit="1" customWidth="1"/>
    <col min="26" max="26" width="13.421875" style="5" customWidth="1"/>
    <col min="27" max="27" width="13.00390625" style="5" customWidth="1"/>
    <col min="28" max="28" width="13.28125" style="26" customWidth="1"/>
    <col min="29" max="29" width="13.421875" style="5" customWidth="1"/>
    <col min="30" max="34" width="12.8515625" style="5" customWidth="1"/>
    <col min="35" max="36" width="13.421875" style="5" customWidth="1"/>
    <col min="37" max="37" width="13.421875" style="5" bestFit="1" customWidth="1"/>
    <col min="38" max="39" width="13.421875" style="5" customWidth="1"/>
    <col min="40" max="41" width="13.140625" style="5" customWidth="1"/>
    <col min="42" max="42" width="13.421875" style="5" customWidth="1"/>
    <col min="43" max="43" width="13.8515625" style="5" customWidth="1"/>
    <col min="44" max="44" width="13.421875" style="5" customWidth="1"/>
    <col min="45" max="48" width="13.8515625" style="5" customWidth="1"/>
    <col min="49" max="49" width="13.421875" style="5" bestFit="1" customWidth="1"/>
    <col min="50" max="61" width="13.421875" style="5" customWidth="1"/>
    <col min="62" max="16384" width="11.421875" style="5" customWidth="1"/>
  </cols>
  <sheetData>
    <row r="1" ht="12.75">
      <c r="A1" s="5" t="s">
        <v>198</v>
      </c>
    </row>
    <row r="2" spans="1:28" ht="12.75">
      <c r="A2" s="5" t="s">
        <v>7</v>
      </c>
      <c r="AB2" s="5"/>
    </row>
    <row r="3" spans="1:28" ht="12.75">
      <c r="A3" s="5" t="str">
        <f>'PL by Month'!A3</f>
        <v>For Management Discussion Only</v>
      </c>
      <c r="AB3" s="5"/>
    </row>
    <row r="4" spans="1:61" ht="12.75">
      <c r="A4" s="30" t="s">
        <v>196</v>
      </c>
      <c r="AX4" s="6" t="s">
        <v>45</v>
      </c>
      <c r="AY4" s="6" t="s">
        <v>45</v>
      </c>
      <c r="AZ4" s="6" t="s">
        <v>45</v>
      </c>
      <c r="BA4" s="6" t="s">
        <v>45</v>
      </c>
      <c r="BB4" s="6" t="s">
        <v>45</v>
      </c>
      <c r="BC4" s="6" t="s">
        <v>45</v>
      </c>
      <c r="BD4" s="6" t="s">
        <v>45</v>
      </c>
      <c r="BE4" s="6" t="s">
        <v>45</v>
      </c>
      <c r="BF4" s="6" t="s">
        <v>45</v>
      </c>
      <c r="BG4" s="6" t="s">
        <v>45</v>
      </c>
      <c r="BH4" s="6" t="s">
        <v>45</v>
      </c>
      <c r="BI4" s="6" t="s">
        <v>45</v>
      </c>
    </row>
    <row r="5" spans="1:61" ht="12.75">
      <c r="A5" s="58"/>
      <c r="B5" s="6" t="str">
        <f>'PL by Month'!B5</f>
        <v>2008-01</v>
      </c>
      <c r="C5" s="6" t="str">
        <f>'PL by Month'!C5</f>
        <v>2008-02</v>
      </c>
      <c r="D5" s="6" t="str">
        <f>'PL by Month'!D5</f>
        <v>2008-03</v>
      </c>
      <c r="E5" s="6" t="str">
        <f>'PL by Month'!E5</f>
        <v>2008-04</v>
      </c>
      <c r="F5" s="6" t="str">
        <f>'PL by Month'!F5</f>
        <v>2008-05</v>
      </c>
      <c r="G5" s="6" t="str">
        <f>'PL by Month'!G5</f>
        <v>2008-06</v>
      </c>
      <c r="H5" s="6" t="str">
        <f>'PL by Month'!H5</f>
        <v>2008-07</v>
      </c>
      <c r="I5" s="6" t="str">
        <f>'PL by Month'!I5</f>
        <v>2008-08</v>
      </c>
      <c r="J5" s="6" t="str">
        <f>'PL by Month'!J5</f>
        <v>2008-09</v>
      </c>
      <c r="K5" s="6" t="str">
        <f>'PL by Month'!K5</f>
        <v>2008-10</v>
      </c>
      <c r="L5" s="6" t="str">
        <f>'PL by Month'!L5</f>
        <v>2008-11</v>
      </c>
      <c r="M5" s="6" t="str">
        <f>'PL by Month'!M5</f>
        <v>2008-12</v>
      </c>
      <c r="N5" s="6" t="str">
        <f>'PL by Month'!N5</f>
        <v>2009-01</v>
      </c>
      <c r="O5" s="6" t="str">
        <f>'PL by Month'!O5</f>
        <v>2009-02</v>
      </c>
      <c r="P5" s="6" t="str">
        <f>'PL by Month'!P5</f>
        <v>2009-03</v>
      </c>
      <c r="Q5" s="6" t="str">
        <f>'PL by Month'!Q5</f>
        <v>2009-04</v>
      </c>
      <c r="R5" s="6" t="str">
        <f>'PL by Month'!R5</f>
        <v>2009-05</v>
      </c>
      <c r="S5" s="6" t="str">
        <f>'PL by Month'!S5</f>
        <v>2009-06</v>
      </c>
      <c r="T5" s="6" t="str">
        <f>'PL by Month'!T5</f>
        <v>2009-07</v>
      </c>
      <c r="U5" s="6" t="str">
        <f>'PL by Month'!U5</f>
        <v>2009-08</v>
      </c>
      <c r="V5" s="6" t="str">
        <f>'PL by Month'!V5</f>
        <v>2009-09</v>
      </c>
      <c r="W5" s="6" t="str">
        <f>'PL by Month'!W5</f>
        <v>2009-10</v>
      </c>
      <c r="X5" s="6" t="str">
        <f>'PL by Month'!X5</f>
        <v>2009-11</v>
      </c>
      <c r="Y5" s="6" t="str">
        <f>'PL by Month'!Y5</f>
        <v>2009-12</v>
      </c>
      <c r="Z5" s="6" t="str">
        <f>'PL by Month'!Z5</f>
        <v>2010-01</v>
      </c>
      <c r="AA5" s="6" t="str">
        <f>'PL by Month'!AA5</f>
        <v>2010-02</v>
      </c>
      <c r="AB5" s="6" t="str">
        <f>'PL by Month'!AB5</f>
        <v>2010-03</v>
      </c>
      <c r="AC5" s="6" t="str">
        <f>'PL by Month'!AC5</f>
        <v>2010-04</v>
      </c>
      <c r="AD5" s="6" t="str">
        <f>'PL by Month'!AD5</f>
        <v>2010-05</v>
      </c>
      <c r="AE5" s="6" t="str">
        <f>'PL by Month'!AE5</f>
        <v>2010-06</v>
      </c>
      <c r="AF5" s="6" t="str">
        <f>'PL by Month'!AF5</f>
        <v>2010-07</v>
      </c>
      <c r="AG5" s="6" t="str">
        <f>'PL by Month'!AG5</f>
        <v>2010-08</v>
      </c>
      <c r="AH5" s="6" t="str">
        <f>'PL by Month'!AH5</f>
        <v>2010-09</v>
      </c>
      <c r="AI5" s="6" t="str">
        <f>'PL by Month'!AI5</f>
        <v>2010-10</v>
      </c>
      <c r="AJ5" s="6" t="str">
        <f>'PL by Month'!AJ5</f>
        <v>2010-11</v>
      </c>
      <c r="AK5" s="6" t="str">
        <f>'PL by Month'!AK5</f>
        <v>2010-12</v>
      </c>
      <c r="AL5" s="6" t="str">
        <f>'PL by Month'!AL5</f>
        <v>2011-01</v>
      </c>
      <c r="AM5" s="6" t="str">
        <f>'PL by Month'!AM5</f>
        <v>2011-02</v>
      </c>
      <c r="AN5" s="6" t="str">
        <f>'PL by Month'!AN5</f>
        <v>2011-03</v>
      </c>
      <c r="AO5" s="6" t="str">
        <f>'PL by Month'!AO5</f>
        <v>2011-04</v>
      </c>
      <c r="AP5" s="6" t="str">
        <f>'PL by Month'!AP5</f>
        <v>2011-05</v>
      </c>
      <c r="AQ5" s="6" t="str">
        <f>'PL by Month'!AQ5</f>
        <v>2011-06</v>
      </c>
      <c r="AR5" s="6" t="str">
        <f>'PL by Month'!AR5</f>
        <v>2011-07</v>
      </c>
      <c r="AS5" s="6" t="str">
        <f>'PL by Month'!AS5</f>
        <v>2011-08</v>
      </c>
      <c r="AT5" s="6" t="str">
        <f>'PL by Month'!AT5</f>
        <v>2011-09</v>
      </c>
      <c r="AU5" s="6" t="str">
        <f>'PL by Month'!AU5</f>
        <v>2011-10</v>
      </c>
      <c r="AV5" s="6" t="str">
        <f>'PL by Month'!AV5</f>
        <v>2011-11</v>
      </c>
      <c r="AW5" s="6" t="str">
        <f>'PL by Month'!AW5</f>
        <v>2011-12</v>
      </c>
      <c r="AX5" s="6" t="str">
        <f>'PL by Month'!AX5</f>
        <v>2012-01</v>
      </c>
      <c r="AY5" s="6" t="str">
        <f>'PL by Month'!AY5</f>
        <v>2012-02</v>
      </c>
      <c r="AZ5" s="6" t="str">
        <f>'PL by Month'!AZ5</f>
        <v>2012-03</v>
      </c>
      <c r="BA5" s="6" t="str">
        <f>'PL by Month'!BA5</f>
        <v>2012-04</v>
      </c>
      <c r="BB5" s="6" t="str">
        <f>'PL by Month'!BB5</f>
        <v>2012-05</v>
      </c>
      <c r="BC5" s="6" t="str">
        <f>'PL by Month'!BC5</f>
        <v>2012-06</v>
      </c>
      <c r="BD5" s="6" t="str">
        <f>'PL by Month'!BD5</f>
        <v>2012-07</v>
      </c>
      <c r="BE5" s="6" t="str">
        <f>'PL by Month'!BE5</f>
        <v>2012-08</v>
      </c>
      <c r="BF5" s="6" t="str">
        <f>'PL by Month'!BF5</f>
        <v>2012-09</v>
      </c>
      <c r="BG5" s="6" t="str">
        <f>'PL by Month'!BG5</f>
        <v>2012-10</v>
      </c>
      <c r="BH5" s="6" t="str">
        <f>'PL by Month'!BH5</f>
        <v>2012-11</v>
      </c>
      <c r="BI5" s="6" t="str">
        <f>'PL by Month'!BI5</f>
        <v>2012-12</v>
      </c>
    </row>
    <row r="6" ht="12.75">
      <c r="A6" s="19" t="s">
        <v>2</v>
      </c>
    </row>
    <row r="7" ht="12.75">
      <c r="A7" s="20" t="s">
        <v>46</v>
      </c>
    </row>
    <row r="8" spans="1:61" ht="12.75">
      <c r="A8" s="21" t="s">
        <v>107</v>
      </c>
      <c r="B8" s="5">
        <v>77114</v>
      </c>
      <c r="C8" s="5">
        <v>143651</v>
      </c>
      <c r="D8" s="5">
        <v>134206</v>
      </c>
      <c r="E8" s="5">
        <v>65784</v>
      </c>
      <c r="F8" s="5">
        <v>39391</v>
      </c>
      <c r="G8" s="5">
        <v>47016</v>
      </c>
      <c r="H8" s="5">
        <v>136501</v>
      </c>
      <c r="I8" s="5">
        <v>112015</v>
      </c>
      <c r="J8" s="5">
        <v>162495</v>
      </c>
      <c r="K8" s="5">
        <v>154834</v>
      </c>
      <c r="L8" s="5">
        <v>182041</v>
      </c>
      <c r="M8" s="5">
        <v>68024</v>
      </c>
      <c r="N8" s="5">
        <v>87264</v>
      </c>
      <c r="O8" s="5">
        <v>136533</v>
      </c>
      <c r="P8" s="5">
        <v>157831</v>
      </c>
      <c r="Q8" s="5">
        <v>153727</v>
      </c>
      <c r="R8" s="5">
        <v>180634</v>
      </c>
      <c r="S8" s="5">
        <v>123582</v>
      </c>
      <c r="T8" s="5">
        <v>135577</v>
      </c>
      <c r="U8" s="5">
        <v>80613</v>
      </c>
      <c r="V8" s="5">
        <v>64695</v>
      </c>
      <c r="W8" s="5">
        <v>90667</v>
      </c>
      <c r="X8" s="5">
        <v>74679</v>
      </c>
      <c r="Y8" s="5">
        <v>28388</v>
      </c>
      <c r="Z8" s="5">
        <v>148494</v>
      </c>
      <c r="AA8" s="5">
        <v>228646</v>
      </c>
      <c r="AB8" s="5">
        <v>298845</v>
      </c>
      <c r="AC8" s="5">
        <v>182091</v>
      </c>
      <c r="AD8" s="5">
        <v>168934</v>
      </c>
      <c r="AE8" s="5">
        <v>238830</v>
      </c>
      <c r="AF8" s="5">
        <v>247884</v>
      </c>
      <c r="AG8" s="5">
        <v>236966</v>
      </c>
      <c r="AH8" s="5">
        <v>247031</v>
      </c>
      <c r="AI8" s="5">
        <v>225154</v>
      </c>
      <c r="AJ8" s="5">
        <v>298330</v>
      </c>
      <c r="AK8" s="5">
        <v>198564</v>
      </c>
      <c r="AL8" s="5">
        <v>241856</v>
      </c>
      <c r="AM8" s="5">
        <v>394207</v>
      </c>
      <c r="AN8" s="5">
        <v>337616</v>
      </c>
      <c r="AO8" s="5">
        <v>285955</v>
      </c>
      <c r="AP8" s="5">
        <v>271364</v>
      </c>
      <c r="AQ8" s="5">
        <v>309837</v>
      </c>
      <c r="AR8" s="5">
        <v>352374</v>
      </c>
      <c r="AS8" s="5">
        <v>374976</v>
      </c>
      <c r="AT8" s="5">
        <v>314642</v>
      </c>
      <c r="AU8" s="5">
        <v>352372</v>
      </c>
      <c r="AV8" s="5">
        <v>354962</v>
      </c>
      <c r="AW8" s="5">
        <v>228476</v>
      </c>
      <c r="AX8" s="5">
        <f>'CF'!AW39</f>
        <v>234746.12452253632</v>
      </c>
      <c r="AY8" s="5">
        <f>'CF'!AX39</f>
        <v>183957.2947426905</v>
      </c>
      <c r="AZ8" s="5">
        <f>'CF'!AY39</f>
        <v>220711.06867269825</v>
      </c>
      <c r="BA8" s="5">
        <f>'CF'!AZ39</f>
        <v>234432.72732208794</v>
      </c>
      <c r="BB8" s="5">
        <f>'CF'!BA39</f>
        <v>173855.09214357642</v>
      </c>
      <c r="BC8" s="5">
        <f>'CF'!BB39</f>
        <v>229119.31060429878</v>
      </c>
      <c r="BD8" s="5">
        <f>'CF'!BC39</f>
        <v>248940.55962027397</v>
      </c>
      <c r="BE8" s="5">
        <f>'CF'!BD39</f>
        <v>348724.794604852</v>
      </c>
      <c r="BF8" s="5">
        <f>'CF'!BE39</f>
        <v>330311.62619994546</v>
      </c>
      <c r="BG8" s="5">
        <f>'CF'!BF39</f>
        <v>466785.5043647991</v>
      </c>
      <c r="BH8" s="5">
        <f>'CF'!BG39</f>
        <v>468038.66251560976</v>
      </c>
      <c r="BI8" s="5">
        <f>'CF'!BH39</f>
        <v>455181.7133478157</v>
      </c>
    </row>
    <row r="9" spans="1:61" ht="12.75">
      <c r="A9" s="21" t="s">
        <v>108</v>
      </c>
      <c r="B9" s="5">
        <v>175000</v>
      </c>
      <c r="C9" s="5">
        <v>150000</v>
      </c>
      <c r="D9" s="5">
        <v>65000</v>
      </c>
      <c r="E9" s="5">
        <v>120000</v>
      </c>
      <c r="F9" s="5">
        <v>190000</v>
      </c>
      <c r="G9" s="5">
        <v>120000</v>
      </c>
      <c r="H9" s="5">
        <v>240000</v>
      </c>
      <c r="I9" s="5">
        <v>200000</v>
      </c>
      <c r="J9" s="5">
        <v>275000</v>
      </c>
      <c r="K9" s="5">
        <v>220000</v>
      </c>
      <c r="L9" s="5">
        <v>130000</v>
      </c>
      <c r="M9" s="5">
        <v>270000</v>
      </c>
      <c r="N9" s="5">
        <v>245000</v>
      </c>
      <c r="O9" s="5">
        <v>140000</v>
      </c>
      <c r="P9" s="5">
        <v>100000</v>
      </c>
      <c r="Q9" s="5">
        <v>140000</v>
      </c>
      <c r="R9" s="5">
        <v>210000</v>
      </c>
      <c r="S9" s="5">
        <v>315000</v>
      </c>
      <c r="T9" s="5">
        <v>210000</v>
      </c>
      <c r="U9" s="5">
        <v>240000</v>
      </c>
      <c r="V9" s="5">
        <v>215000</v>
      </c>
      <c r="W9" s="5">
        <v>230000</v>
      </c>
      <c r="X9" s="5">
        <v>170000</v>
      </c>
      <c r="Y9" s="5">
        <v>275000</v>
      </c>
      <c r="Z9" s="5">
        <v>440000</v>
      </c>
      <c r="AA9" s="5">
        <v>230000</v>
      </c>
      <c r="AB9" s="26">
        <v>100000</v>
      </c>
      <c r="AC9" s="5">
        <v>250000</v>
      </c>
      <c r="AD9" s="5">
        <v>300000</v>
      </c>
      <c r="AE9" s="5">
        <v>320000</v>
      </c>
      <c r="AF9" s="5">
        <v>315000</v>
      </c>
      <c r="AG9" s="5">
        <v>320000</v>
      </c>
      <c r="AH9" s="5">
        <v>175000</v>
      </c>
      <c r="AI9" s="5">
        <v>275000</v>
      </c>
      <c r="AJ9" s="5">
        <v>250000</v>
      </c>
      <c r="AK9" s="5">
        <v>180000</v>
      </c>
      <c r="AL9" s="5">
        <v>230000</v>
      </c>
      <c r="AM9" s="5">
        <v>105000</v>
      </c>
      <c r="AN9" s="5">
        <v>100000</v>
      </c>
      <c r="AO9" s="5">
        <v>220000</v>
      </c>
      <c r="AP9" s="5">
        <v>270000</v>
      </c>
      <c r="AQ9" s="5">
        <v>230000</v>
      </c>
      <c r="AR9" s="5">
        <v>210000</v>
      </c>
      <c r="AS9" s="5">
        <v>320000</v>
      </c>
      <c r="AT9" s="5">
        <v>250000</v>
      </c>
      <c r="AU9" s="5">
        <v>230000</v>
      </c>
      <c r="AV9" s="5">
        <v>170000</v>
      </c>
      <c r="AW9" s="5">
        <v>115000</v>
      </c>
      <c r="AX9" s="5">
        <f>ROUND(('PL by Month'!AW7+'PL by Month'!AX7)/60*'BS'!AX55,0)</f>
        <v>199500</v>
      </c>
      <c r="AY9" s="5">
        <f>ROUND(('PL by Month'!AX7+'PL by Month'!AY7)/60*'BS'!AY55,0)</f>
        <v>189200</v>
      </c>
      <c r="AZ9" s="5">
        <f>ROUND(('PL by Month'!AY7+'PL by Month'!AZ7)/60*'BS'!AZ55,0)</f>
        <v>116050</v>
      </c>
      <c r="BA9" s="5">
        <f>ROUND(('PL by Month'!AZ7+'PL by Month'!BA7)/60*'BS'!BA55,0)</f>
        <v>207350</v>
      </c>
      <c r="BB9" s="5">
        <f>ROUND(('PL by Month'!BA7+'PL by Month'!BB7)/60*'BS'!BB55,0)</f>
        <v>301400</v>
      </c>
      <c r="BC9" s="5">
        <f>ROUND(('PL by Month'!BB7+'PL by Month'!BC7)/60*'BS'!BC55,0)</f>
        <v>324500</v>
      </c>
      <c r="BD9" s="5">
        <f>ROUND(('PL by Month'!BC7+'PL by Month'!BD7)/60*'BS'!BD55,0)</f>
        <v>323400</v>
      </c>
      <c r="BE9" s="5">
        <f>ROUND(('PL by Month'!BD7+'PL by Month'!BE7)/60*'BS'!BE55,0)</f>
        <v>372350</v>
      </c>
      <c r="BF9" s="5">
        <f>ROUND(('PL by Month'!BE7+'PL by Month'!BF7)/60*'BS'!BF55,0)</f>
        <v>345400</v>
      </c>
      <c r="BG9" s="5">
        <f>ROUND(('PL by Month'!BF7+'PL by Month'!BG7)/60*'BS'!BG55,0)</f>
        <v>261250</v>
      </c>
      <c r="BH9" s="5">
        <f>ROUND(('PL by Month'!BG7+'PL by Month'!BH7)/60*'BS'!BH55,0)</f>
        <v>248600</v>
      </c>
      <c r="BI9" s="5">
        <f>ROUND(('PL by Month'!BH7+'PL by Month'!BI7)/60*'BS'!BI55,0)</f>
        <v>187000</v>
      </c>
    </row>
    <row r="10" spans="1:61" ht="12.75">
      <c r="A10" s="22" t="s">
        <v>135</v>
      </c>
      <c r="B10" s="5">
        <v>3500</v>
      </c>
      <c r="C10" s="5">
        <v>3500</v>
      </c>
      <c r="D10" s="5">
        <v>3500</v>
      </c>
      <c r="E10" s="5">
        <v>3500</v>
      </c>
      <c r="F10" s="5">
        <v>3500</v>
      </c>
      <c r="G10" s="5">
        <v>3500</v>
      </c>
      <c r="H10" s="5">
        <v>3500</v>
      </c>
      <c r="I10" s="5">
        <v>3500</v>
      </c>
      <c r="J10" s="5">
        <v>3500</v>
      </c>
      <c r="K10" s="5">
        <v>3500</v>
      </c>
      <c r="L10" s="5">
        <v>3500</v>
      </c>
      <c r="M10" s="5">
        <v>3500</v>
      </c>
      <c r="N10" s="5">
        <v>3500</v>
      </c>
      <c r="O10" s="5">
        <v>3500</v>
      </c>
      <c r="P10" s="5">
        <v>3500</v>
      </c>
      <c r="Q10" s="5">
        <v>3500</v>
      </c>
      <c r="R10" s="5">
        <v>3500</v>
      </c>
      <c r="S10" s="5">
        <v>3500</v>
      </c>
      <c r="T10" s="5">
        <v>3500</v>
      </c>
      <c r="U10" s="5">
        <v>3500</v>
      </c>
      <c r="V10" s="5">
        <v>3500</v>
      </c>
      <c r="W10" s="5">
        <v>3500</v>
      </c>
      <c r="X10" s="5">
        <v>3500</v>
      </c>
      <c r="Y10" s="5">
        <v>3500</v>
      </c>
      <c r="Z10" s="5">
        <v>3500</v>
      </c>
      <c r="AA10" s="5">
        <v>3500</v>
      </c>
      <c r="AB10" s="5">
        <v>3500</v>
      </c>
      <c r="AC10" s="5">
        <v>3500</v>
      </c>
      <c r="AD10" s="5">
        <v>3500</v>
      </c>
      <c r="AE10" s="5">
        <v>3500</v>
      </c>
      <c r="AF10" s="5">
        <v>3500</v>
      </c>
      <c r="AG10" s="5">
        <v>3500</v>
      </c>
      <c r="AH10" s="5">
        <v>3500</v>
      </c>
      <c r="AI10" s="5">
        <v>3500</v>
      </c>
      <c r="AJ10" s="5">
        <v>3500</v>
      </c>
      <c r="AK10" s="5">
        <v>3500</v>
      </c>
      <c r="AL10" s="5">
        <v>3500</v>
      </c>
      <c r="AM10" s="5">
        <v>3500</v>
      </c>
      <c r="AN10" s="5">
        <v>3500</v>
      </c>
      <c r="AO10" s="5">
        <v>3500</v>
      </c>
      <c r="AP10" s="5">
        <v>3500</v>
      </c>
      <c r="AQ10" s="5">
        <v>3500</v>
      </c>
      <c r="AR10" s="5">
        <v>3500</v>
      </c>
      <c r="AS10" s="5">
        <v>3500</v>
      </c>
      <c r="AT10" s="5">
        <v>3500</v>
      </c>
      <c r="AU10" s="5">
        <v>3500</v>
      </c>
      <c r="AV10" s="5">
        <v>3500</v>
      </c>
      <c r="AW10" s="5">
        <v>3500</v>
      </c>
      <c r="AX10" s="5">
        <f>AW10-'CF'!AW15</f>
        <v>3500</v>
      </c>
      <c r="AY10" s="5">
        <f>AX10-'CF'!AX15</f>
        <v>3500</v>
      </c>
      <c r="AZ10" s="5">
        <f>AY10-'CF'!AY15</f>
        <v>3500</v>
      </c>
      <c r="BA10" s="5">
        <f>AZ10-'CF'!AZ15</f>
        <v>3500</v>
      </c>
      <c r="BB10" s="5">
        <f>BA10-'CF'!BA15</f>
        <v>3500</v>
      </c>
      <c r="BC10" s="5">
        <f>BB10-'CF'!BB15</f>
        <v>3500</v>
      </c>
      <c r="BD10" s="5">
        <f>BC10-'CF'!BC15</f>
        <v>3500</v>
      </c>
      <c r="BE10" s="5">
        <f>BD10-'CF'!BD15</f>
        <v>3500</v>
      </c>
      <c r="BF10" s="5">
        <f>BE10-'CF'!BE15</f>
        <v>3500</v>
      </c>
      <c r="BG10" s="5">
        <f>BF10-'CF'!BF15</f>
        <v>3500</v>
      </c>
      <c r="BH10" s="5">
        <f>BG10-'CF'!BG15</f>
        <v>3500</v>
      </c>
      <c r="BI10" s="5">
        <f>BH10-'CF'!BH15</f>
        <v>3500</v>
      </c>
    </row>
    <row r="11" spans="1:28" s="9" customFormat="1" ht="12.75">
      <c r="A11" s="21"/>
      <c r="AB11" s="27"/>
    </row>
    <row r="12" spans="1:61" ht="12.75">
      <c r="A12" s="20" t="s">
        <v>47</v>
      </c>
      <c r="B12" s="5">
        <f aca="true" t="shared" si="0" ref="B12:AH12">SUM(B8:B10)</f>
        <v>255614</v>
      </c>
      <c r="C12" s="5">
        <f t="shared" si="0"/>
        <v>297151</v>
      </c>
      <c r="D12" s="5">
        <f t="shared" si="0"/>
        <v>202706</v>
      </c>
      <c r="E12" s="5">
        <f t="shared" si="0"/>
        <v>189284</v>
      </c>
      <c r="F12" s="5">
        <f t="shared" si="0"/>
        <v>232891</v>
      </c>
      <c r="G12" s="5">
        <f t="shared" si="0"/>
        <v>170516</v>
      </c>
      <c r="H12" s="5">
        <f t="shared" si="0"/>
        <v>380001</v>
      </c>
      <c r="I12" s="5">
        <f t="shared" si="0"/>
        <v>315515</v>
      </c>
      <c r="J12" s="5">
        <f t="shared" si="0"/>
        <v>440995</v>
      </c>
      <c r="K12" s="5">
        <f t="shared" si="0"/>
        <v>378334</v>
      </c>
      <c r="L12" s="5">
        <f t="shared" si="0"/>
        <v>315541</v>
      </c>
      <c r="M12" s="5">
        <f t="shared" si="0"/>
        <v>341524</v>
      </c>
      <c r="N12" s="5">
        <f t="shared" si="0"/>
        <v>335764</v>
      </c>
      <c r="O12" s="5">
        <f t="shared" si="0"/>
        <v>280033</v>
      </c>
      <c r="P12" s="5">
        <f t="shared" si="0"/>
        <v>261331</v>
      </c>
      <c r="Q12" s="5">
        <f t="shared" si="0"/>
        <v>297227</v>
      </c>
      <c r="R12" s="5">
        <f t="shared" si="0"/>
        <v>394134</v>
      </c>
      <c r="S12" s="5">
        <f t="shared" si="0"/>
        <v>442082</v>
      </c>
      <c r="T12" s="5">
        <f t="shared" si="0"/>
        <v>349077</v>
      </c>
      <c r="U12" s="5">
        <f t="shared" si="0"/>
        <v>324113</v>
      </c>
      <c r="V12" s="5">
        <f t="shared" si="0"/>
        <v>283195</v>
      </c>
      <c r="W12" s="5">
        <f t="shared" si="0"/>
        <v>324167</v>
      </c>
      <c r="X12" s="5">
        <f t="shared" si="0"/>
        <v>248179</v>
      </c>
      <c r="Y12" s="5">
        <f t="shared" si="0"/>
        <v>306888</v>
      </c>
      <c r="Z12" s="5">
        <f t="shared" si="0"/>
        <v>591994</v>
      </c>
      <c r="AA12" s="5">
        <f t="shared" si="0"/>
        <v>462146</v>
      </c>
      <c r="AB12" s="26">
        <f t="shared" si="0"/>
        <v>402345</v>
      </c>
      <c r="AC12" s="5">
        <f t="shared" si="0"/>
        <v>435591</v>
      </c>
      <c r="AD12" s="5">
        <f t="shared" si="0"/>
        <v>472434</v>
      </c>
      <c r="AE12" s="5">
        <f t="shared" si="0"/>
        <v>562330</v>
      </c>
      <c r="AF12" s="5">
        <f t="shared" si="0"/>
        <v>566384</v>
      </c>
      <c r="AG12" s="5">
        <f t="shared" si="0"/>
        <v>560466</v>
      </c>
      <c r="AH12" s="5">
        <f t="shared" si="0"/>
        <v>425531</v>
      </c>
      <c r="AI12" s="5">
        <f aca="true" t="shared" si="1" ref="AI12:AN12">SUM(AI8:AI10)</f>
        <v>503654</v>
      </c>
      <c r="AJ12" s="5">
        <f t="shared" si="1"/>
        <v>551830</v>
      </c>
      <c r="AK12" s="5">
        <f t="shared" si="1"/>
        <v>382064</v>
      </c>
      <c r="AL12" s="5">
        <f t="shared" si="1"/>
        <v>475356</v>
      </c>
      <c r="AM12" s="5">
        <f t="shared" si="1"/>
        <v>502707</v>
      </c>
      <c r="AN12" s="5">
        <f t="shared" si="1"/>
        <v>441116</v>
      </c>
      <c r="AO12" s="5">
        <f>SUM(AO8:AO10)</f>
        <v>509455</v>
      </c>
      <c r="AP12" s="5">
        <f>SUM(AP8:AP10)</f>
        <v>544864</v>
      </c>
      <c r="AQ12" s="5">
        <f>SUM(AQ8:AQ10)</f>
        <v>543337</v>
      </c>
      <c r="AR12" s="5">
        <f>SUM(AR8:AR10)</f>
        <v>565874</v>
      </c>
      <c r="AS12" s="5">
        <f>SUM(AS8:AS10)</f>
        <v>698476</v>
      </c>
      <c r="AT12" s="5">
        <f aca="true" t="shared" si="2" ref="AT12:AY12">SUM(AT8:AT10)</f>
        <v>568142</v>
      </c>
      <c r="AU12" s="5">
        <f t="shared" si="2"/>
        <v>585872</v>
      </c>
      <c r="AV12" s="5">
        <f t="shared" si="2"/>
        <v>528462</v>
      </c>
      <c r="AW12" s="5">
        <f t="shared" si="2"/>
        <v>346976</v>
      </c>
      <c r="AX12" s="5">
        <f t="shared" si="2"/>
        <v>437746.1245225363</v>
      </c>
      <c r="AY12" s="5">
        <f t="shared" si="2"/>
        <v>376657.2947426905</v>
      </c>
      <c r="AZ12" s="5">
        <f aca="true" t="shared" si="3" ref="AZ12:BI12">SUM(AZ8:AZ10)</f>
        <v>340261.0686726982</v>
      </c>
      <c r="BA12" s="5">
        <f t="shared" si="3"/>
        <v>445282.727322088</v>
      </c>
      <c r="BB12" s="5">
        <f t="shared" si="3"/>
        <v>478755.0921435764</v>
      </c>
      <c r="BC12" s="5">
        <f t="shared" si="3"/>
        <v>557119.3106042987</v>
      </c>
      <c r="BD12" s="5">
        <f t="shared" si="3"/>
        <v>575840.559620274</v>
      </c>
      <c r="BE12" s="5">
        <f t="shared" si="3"/>
        <v>724574.794604852</v>
      </c>
      <c r="BF12" s="5">
        <f t="shared" si="3"/>
        <v>679211.6261999455</v>
      </c>
      <c r="BG12" s="5">
        <f t="shared" si="3"/>
        <v>731535.5043647991</v>
      </c>
      <c r="BH12" s="5">
        <f t="shared" si="3"/>
        <v>720138.6625156098</v>
      </c>
      <c r="BI12" s="5">
        <f t="shared" si="3"/>
        <v>645681.7133478157</v>
      </c>
    </row>
    <row r="13" ht="12.75">
      <c r="A13" s="21"/>
    </row>
    <row r="14" ht="12.75">
      <c r="A14" s="20" t="s">
        <v>48</v>
      </c>
    </row>
    <row r="15" spans="1:61" ht="12.75">
      <c r="A15" s="21" t="s">
        <v>120</v>
      </c>
      <c r="B15" s="5">
        <v>650000</v>
      </c>
      <c r="C15" s="5">
        <v>650000</v>
      </c>
      <c r="D15" s="5">
        <v>690000</v>
      </c>
      <c r="E15" s="5">
        <v>690000</v>
      </c>
      <c r="F15" s="5">
        <v>690000</v>
      </c>
      <c r="G15" s="5">
        <v>690000</v>
      </c>
      <c r="H15" s="5">
        <v>700000</v>
      </c>
      <c r="I15" s="5">
        <v>700000</v>
      </c>
      <c r="J15" s="5">
        <v>700000</v>
      </c>
      <c r="K15" s="5">
        <v>700000</v>
      </c>
      <c r="L15" s="5">
        <v>700000</v>
      </c>
      <c r="M15" s="5">
        <v>800000</v>
      </c>
      <c r="N15" s="5">
        <v>800000</v>
      </c>
      <c r="O15" s="5">
        <v>800000</v>
      </c>
      <c r="P15" s="5">
        <v>800000</v>
      </c>
      <c r="Q15" s="5">
        <v>800000</v>
      </c>
      <c r="R15" s="5">
        <v>800000</v>
      </c>
      <c r="S15" s="5">
        <v>800000</v>
      </c>
      <c r="T15" s="5">
        <v>800000</v>
      </c>
      <c r="U15" s="5">
        <v>800000</v>
      </c>
      <c r="V15" s="5">
        <v>800000</v>
      </c>
      <c r="W15" s="5">
        <v>800000</v>
      </c>
      <c r="X15" s="5">
        <v>840000</v>
      </c>
      <c r="Y15" s="5">
        <v>870000</v>
      </c>
      <c r="Z15" s="5">
        <v>870000</v>
      </c>
      <c r="AA15" s="5">
        <v>870000</v>
      </c>
      <c r="AB15" s="5">
        <v>870000</v>
      </c>
      <c r="AC15" s="5">
        <v>870000</v>
      </c>
      <c r="AD15" s="5">
        <v>970000</v>
      </c>
      <c r="AE15" s="5">
        <v>970000</v>
      </c>
      <c r="AF15" s="5">
        <v>970000</v>
      </c>
      <c r="AG15" s="5">
        <v>970000</v>
      </c>
      <c r="AH15" s="5">
        <v>1000000</v>
      </c>
      <c r="AI15" s="5">
        <v>1000000</v>
      </c>
      <c r="AJ15" s="5">
        <v>1000000</v>
      </c>
      <c r="AK15" s="5">
        <v>1020000</v>
      </c>
      <c r="AL15" s="5">
        <v>1020000</v>
      </c>
      <c r="AM15" s="5">
        <v>1020000</v>
      </c>
      <c r="AN15" s="5">
        <v>1020000</v>
      </c>
      <c r="AO15" s="5">
        <v>1050000</v>
      </c>
      <c r="AP15" s="5">
        <v>1050000</v>
      </c>
      <c r="AQ15" s="5">
        <v>1050000</v>
      </c>
      <c r="AR15" s="5">
        <v>1050000</v>
      </c>
      <c r="AS15" s="5">
        <v>1050000</v>
      </c>
      <c r="AT15" s="5">
        <v>1050000</v>
      </c>
      <c r="AU15" s="5">
        <v>1050000</v>
      </c>
      <c r="AV15" s="5">
        <v>1080000</v>
      </c>
      <c r="AW15" s="5">
        <v>1115000</v>
      </c>
      <c r="AX15" s="5">
        <f>AW15-'CF'!AW24</f>
        <v>1115000</v>
      </c>
      <c r="AY15" s="5">
        <f>AX15-'CF'!AX24</f>
        <v>1115000</v>
      </c>
      <c r="AZ15" s="5">
        <f>AY15-'CF'!AY24</f>
        <v>1115000</v>
      </c>
      <c r="BA15" s="5">
        <f>AZ15-'CF'!AZ24</f>
        <v>1115000</v>
      </c>
      <c r="BB15" s="5">
        <f>BA15-'CF'!BA24</f>
        <v>1115000</v>
      </c>
      <c r="BC15" s="5">
        <f>BB15-'CF'!BB24</f>
        <v>1115000</v>
      </c>
      <c r="BD15" s="5">
        <f>BC15-'CF'!BC24</f>
        <v>1115000</v>
      </c>
      <c r="BE15" s="5">
        <f>BD15-'CF'!BD24</f>
        <v>1115000</v>
      </c>
      <c r="BF15" s="5">
        <f>BE15-'CF'!BE24</f>
        <v>1115000</v>
      </c>
      <c r="BG15" s="5">
        <f>BF15-'CF'!BF24</f>
        <v>1115000</v>
      </c>
      <c r="BH15" s="5">
        <f>BG15-'CF'!BG24</f>
        <v>1115000</v>
      </c>
      <c r="BI15" s="5">
        <f>BH15-'CF'!BH24</f>
        <v>1115000</v>
      </c>
    </row>
    <row r="16" spans="1:61" ht="12.75">
      <c r="A16" s="21" t="s">
        <v>121</v>
      </c>
      <c r="B16" s="5">
        <v>-584000</v>
      </c>
      <c r="C16" s="5">
        <f>B16+'PL by Month'!C32</f>
        <v>-595500</v>
      </c>
      <c r="D16" s="5">
        <f>C16+'PL by Month'!D32</f>
        <v>-607000</v>
      </c>
      <c r="E16" s="5">
        <f>D16+'PL by Month'!E32</f>
        <v>-618500</v>
      </c>
      <c r="F16" s="5">
        <f>E16+'PL by Month'!F32</f>
        <v>-630000</v>
      </c>
      <c r="G16" s="5">
        <f>F16+'PL by Month'!G32</f>
        <v>-641500</v>
      </c>
      <c r="H16" s="5">
        <f>G16+'PL by Month'!H32</f>
        <v>-653000</v>
      </c>
      <c r="I16" s="5">
        <f>H16+'PL by Month'!I32</f>
        <v>-664500</v>
      </c>
      <c r="J16" s="5">
        <f>I16+'PL by Month'!J32</f>
        <v>-676000</v>
      </c>
      <c r="K16" s="5">
        <f>J16+'PL by Month'!K32</f>
        <v>-687500</v>
      </c>
      <c r="L16" s="5">
        <f>K16+'PL by Month'!L32</f>
        <v>-699000</v>
      </c>
      <c r="M16" s="5">
        <f>L16+'PL by Month'!M32</f>
        <v>-710500</v>
      </c>
      <c r="N16" s="5">
        <f>M16+'PL by Month'!N32</f>
        <v>-718600</v>
      </c>
      <c r="O16" s="5">
        <f>N16+'PL by Month'!O32</f>
        <v>-726700</v>
      </c>
      <c r="P16" s="5">
        <f>O16+'PL by Month'!P32</f>
        <v>-734800</v>
      </c>
      <c r="Q16" s="5">
        <f>P16+'PL by Month'!Q32</f>
        <v>-742900</v>
      </c>
      <c r="R16" s="5">
        <f>Q16+'PL by Month'!R32</f>
        <v>-751000</v>
      </c>
      <c r="S16" s="5">
        <f>R16+'PL by Month'!S32</f>
        <v>-759100</v>
      </c>
      <c r="T16" s="5">
        <f>S16+'PL by Month'!T32</f>
        <v>-767200</v>
      </c>
      <c r="U16" s="5">
        <f>T16+'PL by Month'!U32</f>
        <v>-775300</v>
      </c>
      <c r="V16" s="5">
        <f>U16+'PL by Month'!V32</f>
        <v>-783400</v>
      </c>
      <c r="W16" s="5">
        <f>V16+'PL by Month'!W32</f>
        <v>-791500</v>
      </c>
      <c r="X16" s="5">
        <f>W16+'PL by Month'!X32</f>
        <v>-799600</v>
      </c>
      <c r="Y16" s="5">
        <f>X16+'PL by Month'!Y32</f>
        <v>-807700</v>
      </c>
      <c r="Z16" s="5">
        <f>Y16+'PL by Month'!Z32</f>
        <v>-819800</v>
      </c>
      <c r="AA16" s="5">
        <f>Z16+'PL by Month'!AA32</f>
        <v>-831900</v>
      </c>
      <c r="AB16" s="5">
        <f>AA16+'PL by Month'!AB32</f>
        <v>-844000</v>
      </c>
      <c r="AC16" s="5">
        <f>AB16+'PL by Month'!AC32</f>
        <v>-856100</v>
      </c>
      <c r="AD16" s="5">
        <f>AC16+'PL by Month'!AD32</f>
        <v>-868200</v>
      </c>
      <c r="AE16" s="5">
        <f>AD16+'PL by Month'!AE32</f>
        <v>-880300</v>
      </c>
      <c r="AF16" s="5">
        <f>AE16+'PL by Month'!AF32</f>
        <v>-892400</v>
      </c>
      <c r="AG16" s="5">
        <f>AF16+'PL by Month'!AG32</f>
        <v>-904500</v>
      </c>
      <c r="AH16" s="5">
        <f>AG16+'PL by Month'!AH32</f>
        <v>-916600</v>
      </c>
      <c r="AI16" s="5">
        <f>AH16+'PL by Month'!AI32</f>
        <v>-928700</v>
      </c>
      <c r="AJ16" s="5">
        <f>AI16+'PL by Month'!AJ32</f>
        <v>-940800</v>
      </c>
      <c r="AK16" s="5">
        <f>AJ16+'PL by Month'!AK32</f>
        <v>-952900</v>
      </c>
      <c r="AL16" s="5">
        <f>AK16+'PL by Month'!AL32</f>
        <v>-955000</v>
      </c>
      <c r="AM16" s="5">
        <f>AL16+'PL by Month'!AM32</f>
        <v>-957100</v>
      </c>
      <c r="AN16" s="5">
        <f>AM16+'PL by Month'!AN32</f>
        <v>-959200</v>
      </c>
      <c r="AO16" s="5">
        <f>AN16+'PL by Month'!AO32</f>
        <v>-961300</v>
      </c>
      <c r="AP16" s="5">
        <f>AO16+'PL by Month'!AP32</f>
        <v>-963400</v>
      </c>
      <c r="AQ16" s="5">
        <f>AP16+'PL by Month'!AQ32</f>
        <v>-965500</v>
      </c>
      <c r="AR16" s="5">
        <f>AQ16+'PL by Month'!AR32</f>
        <v>-967600</v>
      </c>
      <c r="AS16" s="5">
        <f>AR16+'PL by Month'!AS32</f>
        <v>-969700</v>
      </c>
      <c r="AT16" s="5">
        <f>AS16+'PL by Month'!AT32</f>
        <v>-971800</v>
      </c>
      <c r="AU16" s="5">
        <f>AT16+'PL by Month'!AU32</f>
        <v>-973900</v>
      </c>
      <c r="AV16" s="5">
        <f>AU16+'PL by Month'!AV32</f>
        <v>-976000</v>
      </c>
      <c r="AW16" s="5">
        <f>AV16+'PL by Month'!AW32</f>
        <v>-978100</v>
      </c>
      <c r="AX16" s="5">
        <f>AW16-'CF'!AW12</f>
        <v>-980200</v>
      </c>
      <c r="AY16" s="5">
        <f>AX16-'CF'!AX12</f>
        <v>-982300</v>
      </c>
      <c r="AZ16" s="5">
        <f>AY16-'CF'!AY12</f>
        <v>-984400</v>
      </c>
      <c r="BA16" s="5">
        <f>AZ16-'CF'!AZ12</f>
        <v>-986500</v>
      </c>
      <c r="BB16" s="5">
        <f>BA16-'CF'!BA12</f>
        <v>-988600</v>
      </c>
      <c r="BC16" s="5">
        <f>BB16-'CF'!BB12</f>
        <v>-990700</v>
      </c>
      <c r="BD16" s="5">
        <f>BC16-'CF'!BC12</f>
        <v>-992800</v>
      </c>
      <c r="BE16" s="5">
        <f>BD16-'CF'!BD12</f>
        <v>-994900</v>
      </c>
      <c r="BF16" s="5">
        <f>BE16-'CF'!BE12</f>
        <v>-997000</v>
      </c>
      <c r="BG16" s="5">
        <f>BF16-'CF'!BF12</f>
        <v>-999100</v>
      </c>
      <c r="BH16" s="5">
        <f>BG16-'CF'!BG12</f>
        <v>-1001200</v>
      </c>
      <c r="BI16" s="5">
        <f>BH16-'CF'!BH12</f>
        <v>-1003300</v>
      </c>
    </row>
    <row r="17" spans="1:28" s="9" customFormat="1" ht="12.75">
      <c r="A17" s="21"/>
      <c r="AB17" s="27"/>
    </row>
    <row r="18" spans="1:61" ht="12.75">
      <c r="A18" s="20" t="s">
        <v>49</v>
      </c>
      <c r="B18" s="5">
        <f aca="true" t="shared" si="4" ref="B18:AH18">SUM(B15:B16)</f>
        <v>66000</v>
      </c>
      <c r="C18" s="5">
        <f t="shared" si="4"/>
        <v>54500</v>
      </c>
      <c r="D18" s="5">
        <f t="shared" si="4"/>
        <v>83000</v>
      </c>
      <c r="E18" s="5">
        <f t="shared" si="4"/>
        <v>71500</v>
      </c>
      <c r="F18" s="5">
        <f t="shared" si="4"/>
        <v>60000</v>
      </c>
      <c r="G18" s="5">
        <f t="shared" si="4"/>
        <v>48500</v>
      </c>
      <c r="H18" s="5">
        <f t="shared" si="4"/>
        <v>47000</v>
      </c>
      <c r="I18" s="5">
        <f t="shared" si="4"/>
        <v>35500</v>
      </c>
      <c r="J18" s="5">
        <f t="shared" si="4"/>
        <v>24000</v>
      </c>
      <c r="K18" s="5">
        <f t="shared" si="4"/>
        <v>12500</v>
      </c>
      <c r="L18" s="5">
        <f t="shared" si="4"/>
        <v>1000</v>
      </c>
      <c r="M18" s="5">
        <f t="shared" si="4"/>
        <v>89500</v>
      </c>
      <c r="N18" s="5">
        <f t="shared" si="4"/>
        <v>81400</v>
      </c>
      <c r="O18" s="5">
        <f t="shared" si="4"/>
        <v>73300</v>
      </c>
      <c r="P18" s="5">
        <f t="shared" si="4"/>
        <v>65200</v>
      </c>
      <c r="Q18" s="5">
        <f t="shared" si="4"/>
        <v>57100</v>
      </c>
      <c r="R18" s="5">
        <f t="shared" si="4"/>
        <v>49000</v>
      </c>
      <c r="S18" s="5">
        <f t="shared" si="4"/>
        <v>40900</v>
      </c>
      <c r="T18" s="5">
        <f t="shared" si="4"/>
        <v>32800</v>
      </c>
      <c r="U18" s="5">
        <f t="shared" si="4"/>
        <v>24700</v>
      </c>
      <c r="V18" s="5">
        <f t="shared" si="4"/>
        <v>16600</v>
      </c>
      <c r="W18" s="5">
        <f t="shared" si="4"/>
        <v>8500</v>
      </c>
      <c r="X18" s="5">
        <f t="shared" si="4"/>
        <v>40400</v>
      </c>
      <c r="Y18" s="5">
        <f t="shared" si="4"/>
        <v>62300</v>
      </c>
      <c r="Z18" s="5">
        <f t="shared" si="4"/>
        <v>50200</v>
      </c>
      <c r="AA18" s="5">
        <f t="shared" si="4"/>
        <v>38100</v>
      </c>
      <c r="AB18" s="26">
        <f t="shared" si="4"/>
        <v>26000</v>
      </c>
      <c r="AC18" s="5">
        <f t="shared" si="4"/>
        <v>13900</v>
      </c>
      <c r="AD18" s="5">
        <f t="shared" si="4"/>
        <v>101800</v>
      </c>
      <c r="AE18" s="5">
        <f t="shared" si="4"/>
        <v>89700</v>
      </c>
      <c r="AF18" s="5">
        <f t="shared" si="4"/>
        <v>77600</v>
      </c>
      <c r="AG18" s="5">
        <f t="shared" si="4"/>
        <v>65500</v>
      </c>
      <c r="AH18" s="5">
        <f t="shared" si="4"/>
        <v>83400</v>
      </c>
      <c r="AI18" s="5">
        <f aca="true" t="shared" si="5" ref="AI18:AN18">SUM(AI15:AI16)</f>
        <v>71300</v>
      </c>
      <c r="AJ18" s="5">
        <f t="shared" si="5"/>
        <v>59200</v>
      </c>
      <c r="AK18" s="5">
        <f t="shared" si="5"/>
        <v>67100</v>
      </c>
      <c r="AL18" s="5">
        <f t="shared" si="5"/>
        <v>65000</v>
      </c>
      <c r="AM18" s="5">
        <f t="shared" si="5"/>
        <v>62900</v>
      </c>
      <c r="AN18" s="5">
        <f t="shared" si="5"/>
        <v>60800</v>
      </c>
      <c r="AO18" s="5">
        <f>SUM(AO15:AO16)</f>
        <v>88700</v>
      </c>
      <c r="AP18" s="5">
        <f>SUM(AP15:AP16)</f>
        <v>86600</v>
      </c>
      <c r="AQ18" s="5">
        <f>SUM(AQ15:AQ16)</f>
        <v>84500</v>
      </c>
      <c r="AR18" s="5">
        <f>SUM(AR15:AR16)</f>
        <v>82400</v>
      </c>
      <c r="AS18" s="5">
        <f>SUM(AS15:AS16)</f>
        <v>80300</v>
      </c>
      <c r="AT18" s="5">
        <f aca="true" t="shared" si="6" ref="AT18:AY18">SUM(AT15:AT16)</f>
        <v>78200</v>
      </c>
      <c r="AU18" s="5">
        <f t="shared" si="6"/>
        <v>76100</v>
      </c>
      <c r="AV18" s="5">
        <f t="shared" si="6"/>
        <v>104000</v>
      </c>
      <c r="AW18" s="5">
        <f t="shared" si="6"/>
        <v>136900</v>
      </c>
      <c r="AX18" s="5">
        <f t="shared" si="6"/>
        <v>134800</v>
      </c>
      <c r="AY18" s="5">
        <f t="shared" si="6"/>
        <v>132700</v>
      </c>
      <c r="AZ18" s="5">
        <f aca="true" t="shared" si="7" ref="AZ18:BI18">SUM(AZ15:AZ16)</f>
        <v>130600</v>
      </c>
      <c r="BA18" s="5">
        <f t="shared" si="7"/>
        <v>128500</v>
      </c>
      <c r="BB18" s="5">
        <f t="shared" si="7"/>
        <v>126400</v>
      </c>
      <c r="BC18" s="5">
        <f t="shared" si="7"/>
        <v>124300</v>
      </c>
      <c r="BD18" s="5">
        <f t="shared" si="7"/>
        <v>122200</v>
      </c>
      <c r="BE18" s="5">
        <f t="shared" si="7"/>
        <v>120100</v>
      </c>
      <c r="BF18" s="5">
        <f t="shared" si="7"/>
        <v>118000</v>
      </c>
      <c r="BG18" s="5">
        <f t="shared" si="7"/>
        <v>115900</v>
      </c>
      <c r="BH18" s="5">
        <f t="shared" si="7"/>
        <v>113800</v>
      </c>
      <c r="BI18" s="5">
        <f t="shared" si="7"/>
        <v>111700</v>
      </c>
    </row>
    <row r="19" ht="12.75">
      <c r="A19" s="20"/>
    </row>
    <row r="20" ht="12.75">
      <c r="A20" s="20" t="s">
        <v>3</v>
      </c>
    </row>
    <row r="21" spans="1:61" ht="12.75">
      <c r="A21" s="17" t="s">
        <v>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50000</v>
      </c>
      <c r="N21" s="5">
        <v>50000</v>
      </c>
      <c r="O21" s="5">
        <v>50000</v>
      </c>
      <c r="P21" s="5">
        <v>50000</v>
      </c>
      <c r="Q21" s="5">
        <v>50000</v>
      </c>
      <c r="R21" s="5">
        <v>50000</v>
      </c>
      <c r="S21" s="5">
        <v>75000</v>
      </c>
      <c r="T21" s="5">
        <v>75000</v>
      </c>
      <c r="U21" s="5">
        <v>75000</v>
      </c>
      <c r="V21" s="5">
        <v>75000</v>
      </c>
      <c r="W21" s="5">
        <v>75000</v>
      </c>
      <c r="X21" s="5">
        <v>75000</v>
      </c>
      <c r="Y21" s="5">
        <v>140000</v>
      </c>
      <c r="Z21" s="5">
        <v>140000</v>
      </c>
      <c r="AA21" s="5">
        <v>140000</v>
      </c>
      <c r="AB21" s="5">
        <v>140000</v>
      </c>
      <c r="AC21" s="5">
        <v>140000</v>
      </c>
      <c r="AD21" s="5">
        <v>140000</v>
      </c>
      <c r="AE21" s="5">
        <v>140000</v>
      </c>
      <c r="AF21" s="5">
        <v>140000</v>
      </c>
      <c r="AG21" s="5">
        <v>140000</v>
      </c>
      <c r="AH21" s="5">
        <v>140000</v>
      </c>
      <c r="AI21" s="5">
        <v>140000</v>
      </c>
      <c r="AJ21" s="5">
        <v>140000</v>
      </c>
      <c r="AK21" s="5">
        <v>140000</v>
      </c>
      <c r="AL21" s="5">
        <v>140000</v>
      </c>
      <c r="AM21" s="5">
        <v>140000</v>
      </c>
      <c r="AN21" s="5">
        <v>140000</v>
      </c>
      <c r="AO21" s="5">
        <v>140000</v>
      </c>
      <c r="AP21" s="5">
        <v>140000</v>
      </c>
      <c r="AQ21" s="5">
        <v>140000</v>
      </c>
      <c r="AR21" s="5">
        <v>140000</v>
      </c>
      <c r="AS21" s="5">
        <v>140000</v>
      </c>
      <c r="AT21" s="5">
        <v>140000</v>
      </c>
      <c r="AU21" s="5">
        <v>140000</v>
      </c>
      <c r="AV21" s="5">
        <v>140000</v>
      </c>
      <c r="AW21" s="5">
        <v>140000</v>
      </c>
      <c r="AX21" s="5">
        <f>AW21-'CF'!AW16</f>
        <v>140000</v>
      </c>
      <c r="AY21" s="5">
        <f>AX21-'CF'!AX16</f>
        <v>140000</v>
      </c>
      <c r="AZ21" s="5">
        <f>AY21-'CF'!AY16</f>
        <v>140000</v>
      </c>
      <c r="BA21" s="5">
        <f>AZ21-'CF'!AZ16</f>
        <v>140000</v>
      </c>
      <c r="BB21" s="5">
        <f>BA21-'CF'!BA16</f>
        <v>140000</v>
      </c>
      <c r="BC21" s="5">
        <f>BB21-'CF'!BB16</f>
        <v>140000</v>
      </c>
      <c r="BD21" s="5">
        <f>BC21-'CF'!BC16</f>
        <v>140000</v>
      </c>
      <c r="BE21" s="5">
        <f>BD21-'CF'!BD16</f>
        <v>140000</v>
      </c>
      <c r="BF21" s="5">
        <f>BE21-'CF'!BE16</f>
        <v>140000</v>
      </c>
      <c r="BG21" s="5">
        <f>BF21-'CF'!BF16</f>
        <v>140000</v>
      </c>
      <c r="BH21" s="5">
        <f>BG21-'CF'!BG16</f>
        <v>140000</v>
      </c>
      <c r="BI21" s="5">
        <f>BH21-'CF'!BH16</f>
        <v>140000</v>
      </c>
    </row>
    <row r="22" spans="1:28" s="9" customFormat="1" ht="12.75">
      <c r="A22" s="17"/>
      <c r="AB22" s="27"/>
    </row>
    <row r="23" spans="1:61" ht="12.75">
      <c r="A23" s="20" t="s">
        <v>122</v>
      </c>
      <c r="B23" s="5">
        <f aca="true" t="shared" si="8" ref="B23:AG23">SUM(B21:B21)</f>
        <v>0</v>
      </c>
      <c r="C23" s="5">
        <f t="shared" si="8"/>
        <v>0</v>
      </c>
      <c r="D23" s="5">
        <f t="shared" si="8"/>
        <v>0</v>
      </c>
      <c r="E23" s="5">
        <f t="shared" si="8"/>
        <v>0</v>
      </c>
      <c r="F23" s="5">
        <f t="shared" si="8"/>
        <v>0</v>
      </c>
      <c r="G23" s="5">
        <f t="shared" si="8"/>
        <v>0</v>
      </c>
      <c r="H23" s="5">
        <f t="shared" si="8"/>
        <v>0</v>
      </c>
      <c r="I23" s="5">
        <f t="shared" si="8"/>
        <v>0</v>
      </c>
      <c r="J23" s="5">
        <f t="shared" si="8"/>
        <v>0</v>
      </c>
      <c r="K23" s="5">
        <f t="shared" si="8"/>
        <v>0</v>
      </c>
      <c r="L23" s="5">
        <f t="shared" si="8"/>
        <v>0</v>
      </c>
      <c r="M23" s="5">
        <f t="shared" si="8"/>
        <v>50000</v>
      </c>
      <c r="N23" s="5">
        <f t="shared" si="8"/>
        <v>50000</v>
      </c>
      <c r="O23" s="5">
        <f t="shared" si="8"/>
        <v>50000</v>
      </c>
      <c r="P23" s="5">
        <f t="shared" si="8"/>
        <v>50000</v>
      </c>
      <c r="Q23" s="5">
        <f t="shared" si="8"/>
        <v>50000</v>
      </c>
      <c r="R23" s="5">
        <f t="shared" si="8"/>
        <v>50000</v>
      </c>
      <c r="S23" s="5">
        <f t="shared" si="8"/>
        <v>75000</v>
      </c>
      <c r="T23" s="5">
        <f t="shared" si="8"/>
        <v>75000</v>
      </c>
      <c r="U23" s="5">
        <f t="shared" si="8"/>
        <v>75000</v>
      </c>
      <c r="V23" s="5">
        <f t="shared" si="8"/>
        <v>75000</v>
      </c>
      <c r="W23" s="5">
        <f t="shared" si="8"/>
        <v>75000</v>
      </c>
      <c r="X23" s="5">
        <f t="shared" si="8"/>
        <v>75000</v>
      </c>
      <c r="Y23" s="5">
        <f t="shared" si="8"/>
        <v>140000</v>
      </c>
      <c r="Z23" s="5">
        <f t="shared" si="8"/>
        <v>140000</v>
      </c>
      <c r="AA23" s="5">
        <f t="shared" si="8"/>
        <v>140000</v>
      </c>
      <c r="AB23" s="26">
        <f t="shared" si="8"/>
        <v>140000</v>
      </c>
      <c r="AC23" s="5">
        <f t="shared" si="8"/>
        <v>140000</v>
      </c>
      <c r="AD23" s="5">
        <f t="shared" si="8"/>
        <v>140000</v>
      </c>
      <c r="AE23" s="5">
        <f t="shared" si="8"/>
        <v>140000</v>
      </c>
      <c r="AF23" s="5">
        <f t="shared" si="8"/>
        <v>140000</v>
      </c>
      <c r="AG23" s="5">
        <f t="shared" si="8"/>
        <v>140000</v>
      </c>
      <c r="AH23" s="5">
        <f aca="true" t="shared" si="9" ref="AH23:BI23">SUM(AH21:AH21)</f>
        <v>140000</v>
      </c>
      <c r="AI23" s="5">
        <f t="shared" si="9"/>
        <v>140000</v>
      </c>
      <c r="AJ23" s="5">
        <f t="shared" si="9"/>
        <v>140000</v>
      </c>
      <c r="AK23" s="5">
        <f t="shared" si="9"/>
        <v>140000</v>
      </c>
      <c r="AL23" s="5">
        <f t="shared" si="9"/>
        <v>140000</v>
      </c>
      <c r="AM23" s="5">
        <f t="shared" si="9"/>
        <v>140000</v>
      </c>
      <c r="AN23" s="5">
        <f t="shared" si="9"/>
        <v>140000</v>
      </c>
      <c r="AO23" s="5">
        <f t="shared" si="9"/>
        <v>140000</v>
      </c>
      <c r="AP23" s="5">
        <f t="shared" si="9"/>
        <v>140000</v>
      </c>
      <c r="AQ23" s="5">
        <f t="shared" si="9"/>
        <v>140000</v>
      </c>
      <c r="AR23" s="5">
        <f t="shared" si="9"/>
        <v>140000</v>
      </c>
      <c r="AS23" s="5">
        <f t="shared" si="9"/>
        <v>140000</v>
      </c>
      <c r="AT23" s="5">
        <f t="shared" si="9"/>
        <v>140000</v>
      </c>
      <c r="AU23" s="5">
        <f t="shared" si="9"/>
        <v>140000</v>
      </c>
      <c r="AV23" s="5">
        <f t="shared" si="9"/>
        <v>140000</v>
      </c>
      <c r="AW23" s="5">
        <f t="shared" si="9"/>
        <v>140000</v>
      </c>
      <c r="AX23" s="5">
        <f t="shared" si="9"/>
        <v>140000</v>
      </c>
      <c r="AY23" s="5">
        <f t="shared" si="9"/>
        <v>140000</v>
      </c>
      <c r="AZ23" s="5">
        <f t="shared" si="9"/>
        <v>140000</v>
      </c>
      <c r="BA23" s="5">
        <f t="shared" si="9"/>
        <v>140000</v>
      </c>
      <c r="BB23" s="5">
        <f t="shared" si="9"/>
        <v>140000</v>
      </c>
      <c r="BC23" s="5">
        <f t="shared" si="9"/>
        <v>140000</v>
      </c>
      <c r="BD23" s="5">
        <f t="shared" si="9"/>
        <v>140000</v>
      </c>
      <c r="BE23" s="5">
        <f t="shared" si="9"/>
        <v>140000</v>
      </c>
      <c r="BF23" s="5">
        <f t="shared" si="9"/>
        <v>140000</v>
      </c>
      <c r="BG23" s="5">
        <f t="shared" si="9"/>
        <v>140000</v>
      </c>
      <c r="BH23" s="5">
        <f t="shared" si="9"/>
        <v>140000</v>
      </c>
      <c r="BI23" s="5">
        <f t="shared" si="9"/>
        <v>140000</v>
      </c>
    </row>
    <row r="24" ht="12.75">
      <c r="A24" s="21"/>
    </row>
    <row r="25" spans="1:61" ht="13.5" thickBot="1">
      <c r="A25" s="20" t="s">
        <v>123</v>
      </c>
      <c r="B25" s="37">
        <f aca="true" t="shared" si="10" ref="B25:AG25">B12+B18+B23</f>
        <v>321614</v>
      </c>
      <c r="C25" s="37">
        <f t="shared" si="10"/>
        <v>351651</v>
      </c>
      <c r="D25" s="37">
        <f t="shared" si="10"/>
        <v>285706</v>
      </c>
      <c r="E25" s="37">
        <f t="shared" si="10"/>
        <v>260784</v>
      </c>
      <c r="F25" s="37">
        <f t="shared" si="10"/>
        <v>292891</v>
      </c>
      <c r="G25" s="37">
        <f t="shared" si="10"/>
        <v>219016</v>
      </c>
      <c r="H25" s="37">
        <f t="shared" si="10"/>
        <v>427001</v>
      </c>
      <c r="I25" s="37">
        <f t="shared" si="10"/>
        <v>351015</v>
      </c>
      <c r="J25" s="37">
        <f t="shared" si="10"/>
        <v>464995</v>
      </c>
      <c r="K25" s="37">
        <f t="shared" si="10"/>
        <v>390834</v>
      </c>
      <c r="L25" s="37">
        <f t="shared" si="10"/>
        <v>316541</v>
      </c>
      <c r="M25" s="37">
        <f t="shared" si="10"/>
        <v>481024</v>
      </c>
      <c r="N25" s="37">
        <f t="shared" si="10"/>
        <v>467164</v>
      </c>
      <c r="O25" s="37">
        <f t="shared" si="10"/>
        <v>403333</v>
      </c>
      <c r="P25" s="37">
        <f t="shared" si="10"/>
        <v>376531</v>
      </c>
      <c r="Q25" s="37">
        <f t="shared" si="10"/>
        <v>404327</v>
      </c>
      <c r="R25" s="37">
        <f t="shared" si="10"/>
        <v>493134</v>
      </c>
      <c r="S25" s="37">
        <f t="shared" si="10"/>
        <v>557982</v>
      </c>
      <c r="T25" s="37">
        <f t="shared" si="10"/>
        <v>456877</v>
      </c>
      <c r="U25" s="37">
        <f t="shared" si="10"/>
        <v>423813</v>
      </c>
      <c r="V25" s="37">
        <f t="shared" si="10"/>
        <v>374795</v>
      </c>
      <c r="W25" s="37">
        <f t="shared" si="10"/>
        <v>407667</v>
      </c>
      <c r="X25" s="37">
        <f t="shared" si="10"/>
        <v>363579</v>
      </c>
      <c r="Y25" s="37">
        <f t="shared" si="10"/>
        <v>509188</v>
      </c>
      <c r="Z25" s="37">
        <f t="shared" si="10"/>
        <v>782194</v>
      </c>
      <c r="AA25" s="37">
        <f t="shared" si="10"/>
        <v>640246</v>
      </c>
      <c r="AB25" s="38">
        <f t="shared" si="10"/>
        <v>568345</v>
      </c>
      <c r="AC25" s="37">
        <f t="shared" si="10"/>
        <v>589491</v>
      </c>
      <c r="AD25" s="37">
        <f t="shared" si="10"/>
        <v>714234</v>
      </c>
      <c r="AE25" s="37">
        <f t="shared" si="10"/>
        <v>792030</v>
      </c>
      <c r="AF25" s="37">
        <f t="shared" si="10"/>
        <v>783984</v>
      </c>
      <c r="AG25" s="37">
        <f t="shared" si="10"/>
        <v>765966</v>
      </c>
      <c r="AH25" s="37">
        <f aca="true" t="shared" si="11" ref="AH25:BI25">AH12+AH18+AH23</f>
        <v>648931</v>
      </c>
      <c r="AI25" s="37">
        <f t="shared" si="11"/>
        <v>714954</v>
      </c>
      <c r="AJ25" s="37">
        <f t="shared" si="11"/>
        <v>751030</v>
      </c>
      <c r="AK25" s="37">
        <f t="shared" si="11"/>
        <v>589164</v>
      </c>
      <c r="AL25" s="37">
        <f t="shared" si="11"/>
        <v>680356</v>
      </c>
      <c r="AM25" s="37">
        <f t="shared" si="11"/>
        <v>705607</v>
      </c>
      <c r="AN25" s="37">
        <f t="shared" si="11"/>
        <v>641916</v>
      </c>
      <c r="AO25" s="37">
        <f t="shared" si="11"/>
        <v>738155</v>
      </c>
      <c r="AP25" s="37">
        <f t="shared" si="11"/>
        <v>771464</v>
      </c>
      <c r="AQ25" s="37">
        <f t="shared" si="11"/>
        <v>767837</v>
      </c>
      <c r="AR25" s="37">
        <f t="shared" si="11"/>
        <v>788274</v>
      </c>
      <c r="AS25" s="37">
        <f t="shared" si="11"/>
        <v>918776</v>
      </c>
      <c r="AT25" s="37">
        <f t="shared" si="11"/>
        <v>786342</v>
      </c>
      <c r="AU25" s="37">
        <f t="shared" si="11"/>
        <v>801972</v>
      </c>
      <c r="AV25" s="37">
        <f t="shared" si="11"/>
        <v>772462</v>
      </c>
      <c r="AW25" s="37">
        <f t="shared" si="11"/>
        <v>623876</v>
      </c>
      <c r="AX25" s="37">
        <f t="shared" si="11"/>
        <v>712546.1245225363</v>
      </c>
      <c r="AY25" s="37">
        <f t="shared" si="11"/>
        <v>649357.2947426905</v>
      </c>
      <c r="AZ25" s="37">
        <f t="shared" si="11"/>
        <v>610861.0686726982</v>
      </c>
      <c r="BA25" s="37">
        <f t="shared" si="11"/>
        <v>713782.727322088</v>
      </c>
      <c r="BB25" s="37">
        <f t="shared" si="11"/>
        <v>745155.0921435764</v>
      </c>
      <c r="BC25" s="37">
        <f t="shared" si="11"/>
        <v>821419.3106042987</v>
      </c>
      <c r="BD25" s="37">
        <f t="shared" si="11"/>
        <v>838040.559620274</v>
      </c>
      <c r="BE25" s="37">
        <f t="shared" si="11"/>
        <v>984674.794604852</v>
      </c>
      <c r="BF25" s="37">
        <f t="shared" si="11"/>
        <v>937211.6261999455</v>
      </c>
      <c r="BG25" s="37">
        <f t="shared" si="11"/>
        <v>987435.5043647991</v>
      </c>
      <c r="BH25" s="37">
        <f t="shared" si="11"/>
        <v>973938.6625156098</v>
      </c>
      <c r="BI25" s="37">
        <f t="shared" si="11"/>
        <v>897381.7133478157</v>
      </c>
    </row>
    <row r="26" ht="13.5" thickTop="1">
      <c r="A26" s="21"/>
    </row>
    <row r="27" ht="12.75">
      <c r="A27" s="19" t="s">
        <v>50</v>
      </c>
    </row>
    <row r="28" ht="12.75">
      <c r="A28" s="21"/>
    </row>
    <row r="29" ht="12.75">
      <c r="A29" s="20" t="s">
        <v>51</v>
      </c>
    </row>
    <row r="30" spans="1:61" ht="12.75">
      <c r="A30" s="24" t="s">
        <v>4</v>
      </c>
      <c r="B30" s="5">
        <v>75000</v>
      </c>
      <c r="C30" s="5">
        <v>76000</v>
      </c>
      <c r="D30" s="5">
        <v>85000</v>
      </c>
      <c r="E30" s="5">
        <v>115000</v>
      </c>
      <c r="F30" s="5">
        <v>150000</v>
      </c>
      <c r="G30" s="5">
        <v>148000</v>
      </c>
      <c r="H30" s="5">
        <v>215000</v>
      </c>
      <c r="I30" s="5">
        <v>195000</v>
      </c>
      <c r="J30" s="5">
        <v>194000</v>
      </c>
      <c r="K30" s="5">
        <v>135000</v>
      </c>
      <c r="L30" s="5">
        <v>150000</v>
      </c>
      <c r="M30" s="5">
        <v>140000</v>
      </c>
      <c r="N30" s="5">
        <v>160000</v>
      </c>
      <c r="O30" s="5">
        <v>110000</v>
      </c>
      <c r="P30" s="5">
        <v>65000</v>
      </c>
      <c r="Q30" s="5">
        <v>80000</v>
      </c>
      <c r="R30" s="5">
        <v>140000</v>
      </c>
      <c r="S30" s="5">
        <v>175000</v>
      </c>
      <c r="T30" s="5">
        <v>125000</v>
      </c>
      <c r="U30" s="5">
        <v>125000</v>
      </c>
      <c r="V30" s="5">
        <v>140000</v>
      </c>
      <c r="W30" s="5">
        <v>125000</v>
      </c>
      <c r="X30" s="5">
        <v>75000</v>
      </c>
      <c r="Y30" s="5">
        <v>80000</v>
      </c>
      <c r="Z30" s="5">
        <v>242000</v>
      </c>
      <c r="AA30" s="5">
        <v>90000</v>
      </c>
      <c r="AB30" s="26">
        <v>120000</v>
      </c>
      <c r="AC30" s="5">
        <v>165000</v>
      </c>
      <c r="AD30" s="5">
        <v>195000</v>
      </c>
      <c r="AE30" s="5">
        <v>210000</v>
      </c>
      <c r="AF30" s="5">
        <v>195000</v>
      </c>
      <c r="AG30" s="5">
        <v>200000</v>
      </c>
      <c r="AH30" s="5">
        <v>135000</v>
      </c>
      <c r="AI30" s="5">
        <v>125000</v>
      </c>
      <c r="AJ30" s="5">
        <v>155000</v>
      </c>
      <c r="AK30" s="5">
        <v>25000</v>
      </c>
      <c r="AL30" s="5">
        <v>110000</v>
      </c>
      <c r="AM30" s="5">
        <v>98000</v>
      </c>
      <c r="AN30" s="5">
        <v>95000</v>
      </c>
      <c r="AO30" s="5">
        <v>115000</v>
      </c>
      <c r="AP30" s="5">
        <v>195000</v>
      </c>
      <c r="AQ30" s="5">
        <v>168000</v>
      </c>
      <c r="AR30" s="5">
        <v>170000</v>
      </c>
      <c r="AS30" s="5">
        <v>200000</v>
      </c>
      <c r="AT30" s="5">
        <v>150000</v>
      </c>
      <c r="AU30" s="5">
        <v>140000</v>
      </c>
      <c r="AV30" s="5">
        <v>75000</v>
      </c>
      <c r="AW30" s="5">
        <v>10000</v>
      </c>
      <c r="AX30" s="5">
        <f>AX56*'PL by Month'!AX9</f>
        <v>78430.00000000003</v>
      </c>
      <c r="AY30" s="5">
        <f>AY56*'PL by Month'!AY9</f>
        <v>38874.000000000015</v>
      </c>
      <c r="AZ30" s="5">
        <f>AZ56*'PL by Month'!AZ9</f>
        <v>33077.000000000015</v>
      </c>
      <c r="BA30" s="5">
        <f>BA56*'PL by Month'!BA9</f>
        <v>95480.00000000003</v>
      </c>
      <c r="BB30" s="5">
        <f>BB56*'PL by Month'!BB9</f>
        <v>91388.00000000003</v>
      </c>
      <c r="BC30" s="5">
        <f>BC56*'PL by Month'!BC9</f>
        <v>109802.00000000003</v>
      </c>
      <c r="BD30" s="5">
        <f>BD56*'PL by Month'!BD9</f>
        <v>90706.00000000003</v>
      </c>
      <c r="BE30" s="5">
        <f>BE56*'PL by Month'!BE9</f>
        <v>140151.00000000006</v>
      </c>
      <c r="BF30" s="5">
        <f>BF56*'PL by Month'!BF9</f>
        <v>73997.00000000003</v>
      </c>
      <c r="BG30" s="5">
        <f>BG56*'PL by Month'!BG9</f>
        <v>87978.00000000003</v>
      </c>
      <c r="BH30" s="5">
        <f>BH56*'PL by Month'!BH9</f>
        <v>66154.00000000003</v>
      </c>
      <c r="BI30" s="5">
        <f>BI56*'PL by Month'!BI9</f>
        <v>2489.300000000001</v>
      </c>
    </row>
    <row r="31" spans="1:61" ht="12.75">
      <c r="A31" s="24" t="s">
        <v>130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12000</v>
      </c>
      <c r="N31" s="5">
        <v>16000</v>
      </c>
      <c r="O31" s="5">
        <v>5000</v>
      </c>
      <c r="P31" s="5">
        <v>4000</v>
      </c>
      <c r="Q31" s="5">
        <v>4000</v>
      </c>
      <c r="R31" s="5">
        <v>5000</v>
      </c>
      <c r="S31" s="5">
        <v>6000</v>
      </c>
      <c r="T31" s="5">
        <v>0</v>
      </c>
      <c r="U31" s="5">
        <v>14000</v>
      </c>
      <c r="V31" s="5">
        <v>4000</v>
      </c>
      <c r="W31" s="5">
        <v>7000</v>
      </c>
      <c r="X31" s="5">
        <v>14000</v>
      </c>
      <c r="Y31" s="5">
        <v>0</v>
      </c>
      <c r="Z31" s="5">
        <v>13000</v>
      </c>
      <c r="AA31" s="5">
        <v>9000</v>
      </c>
      <c r="AB31" s="26">
        <v>2000</v>
      </c>
      <c r="AC31" s="5">
        <v>2000</v>
      </c>
      <c r="AD31" s="5">
        <v>0</v>
      </c>
      <c r="AE31" s="5">
        <v>-5000</v>
      </c>
      <c r="AF31" s="5">
        <v>8000</v>
      </c>
      <c r="AG31" s="5">
        <v>11000</v>
      </c>
      <c r="AH31" s="5">
        <v>12000</v>
      </c>
      <c r="AI31" s="5">
        <v>7000</v>
      </c>
      <c r="AJ31" s="5">
        <v>2000</v>
      </c>
      <c r="AK31" s="5">
        <v>6000</v>
      </c>
      <c r="AL31" s="5">
        <v>1000</v>
      </c>
      <c r="AM31" s="5">
        <v>0</v>
      </c>
      <c r="AN31" s="5">
        <v>7000</v>
      </c>
      <c r="AO31" s="5">
        <v>14000</v>
      </c>
      <c r="AP31" s="5">
        <v>12000</v>
      </c>
      <c r="AQ31" s="5">
        <v>11000</v>
      </c>
      <c r="AR31" s="5">
        <v>14000</v>
      </c>
      <c r="AS31" s="5">
        <v>0</v>
      </c>
      <c r="AT31" s="5">
        <v>1000</v>
      </c>
      <c r="AU31" s="5">
        <v>1000</v>
      </c>
      <c r="AV31" s="5">
        <v>1000</v>
      </c>
      <c r="AW31" s="5">
        <v>0</v>
      </c>
      <c r="AX31" s="5">
        <f>AW31+'CF'!AW18</f>
        <v>0</v>
      </c>
      <c r="AY31" s="5">
        <f>AX31+'CF'!AX18</f>
        <v>0</v>
      </c>
      <c r="AZ31" s="5">
        <f>AY31+'CF'!AY18</f>
        <v>0</v>
      </c>
      <c r="BA31" s="5">
        <f>AZ31+'CF'!AZ18</f>
        <v>0</v>
      </c>
      <c r="BB31" s="5">
        <f>BA31+'CF'!BA18</f>
        <v>0</v>
      </c>
      <c r="BC31" s="5">
        <f>BB31+'CF'!BB18</f>
        <v>0</v>
      </c>
      <c r="BD31" s="5">
        <f>BC31+'CF'!BC18</f>
        <v>0</v>
      </c>
      <c r="BE31" s="5">
        <f>BD31+'CF'!BD18</f>
        <v>0</v>
      </c>
      <c r="BF31" s="5">
        <f>BE31+'CF'!BE18</f>
        <v>0</v>
      </c>
      <c r="BG31" s="5">
        <f>BF31+'CF'!BF18</f>
        <v>0</v>
      </c>
      <c r="BH31" s="5">
        <f>BG31+'CF'!BG18</f>
        <v>0</v>
      </c>
      <c r="BI31" s="5">
        <f>BH31+'CF'!BH18</f>
        <v>0</v>
      </c>
    </row>
    <row r="32" spans="1:61" ht="12.75">
      <c r="A32" s="24" t="s">
        <v>5</v>
      </c>
      <c r="B32" s="5">
        <v>17000</v>
      </c>
      <c r="C32" s="5">
        <v>64000</v>
      </c>
      <c r="D32" s="5">
        <v>95000</v>
      </c>
      <c r="E32" s="5">
        <v>96000</v>
      </c>
      <c r="F32" s="5">
        <v>87000</v>
      </c>
      <c r="G32" s="5">
        <v>84000</v>
      </c>
      <c r="H32" s="5">
        <v>63000</v>
      </c>
      <c r="I32" s="5">
        <v>59000</v>
      </c>
      <c r="J32" s="5">
        <v>47000</v>
      </c>
      <c r="K32" s="5">
        <v>7000</v>
      </c>
      <c r="L32" s="5">
        <v>1000</v>
      </c>
      <c r="M32" s="5">
        <v>0</v>
      </c>
      <c r="N32" s="5">
        <v>13000</v>
      </c>
      <c r="O32" s="5">
        <v>69000</v>
      </c>
      <c r="P32" s="5">
        <v>118000</v>
      </c>
      <c r="Q32" s="5">
        <v>106000</v>
      </c>
      <c r="R32" s="5">
        <v>96000</v>
      </c>
      <c r="S32" s="5">
        <v>58000</v>
      </c>
      <c r="T32" s="5">
        <v>19000</v>
      </c>
      <c r="U32" s="5">
        <v>-10000</v>
      </c>
      <c r="V32" s="5">
        <v>-24000</v>
      </c>
      <c r="W32" s="5">
        <v>-54000</v>
      </c>
      <c r="X32" s="5">
        <v>-59000</v>
      </c>
      <c r="Y32" s="5">
        <v>76000</v>
      </c>
      <c r="Z32" s="5">
        <v>78000</v>
      </c>
      <c r="AA32" s="5">
        <v>127000</v>
      </c>
      <c r="AB32" s="26">
        <v>296000</v>
      </c>
      <c r="AC32" s="5">
        <v>267000</v>
      </c>
      <c r="AD32" s="5">
        <v>258000</v>
      </c>
      <c r="AE32" s="5">
        <v>228000</v>
      </c>
      <c r="AF32" s="5">
        <v>216000</v>
      </c>
      <c r="AG32" s="5">
        <v>193000</v>
      </c>
      <c r="AH32" s="5">
        <v>178000</v>
      </c>
      <c r="AI32" s="5">
        <v>140000</v>
      </c>
      <c r="AJ32" s="5">
        <v>129000</v>
      </c>
      <c r="AK32" s="5">
        <v>128000</v>
      </c>
      <c r="AL32" s="5">
        <v>130000</v>
      </c>
      <c r="AM32" s="5">
        <v>220000</v>
      </c>
      <c r="AN32" s="5">
        <v>256000</v>
      </c>
      <c r="AO32" s="5">
        <v>230000</v>
      </c>
      <c r="AP32" s="5">
        <v>207000</v>
      </c>
      <c r="AQ32" s="5">
        <v>188000</v>
      </c>
      <c r="AR32" s="5">
        <v>180000</v>
      </c>
      <c r="AS32" s="5">
        <v>169000</v>
      </c>
      <c r="AT32" s="5">
        <v>144000</v>
      </c>
      <c r="AU32" s="5">
        <v>112000</v>
      </c>
      <c r="AV32" s="5">
        <v>103000</v>
      </c>
      <c r="AW32" s="5">
        <v>103000</v>
      </c>
      <c r="AX32" s="29">
        <f>AW32+'CF'!AW19</f>
        <v>103000</v>
      </c>
      <c r="AY32" s="29">
        <f>AX32+'CF'!AX19</f>
        <v>103000</v>
      </c>
      <c r="AZ32" s="29">
        <f>AY32+'CF'!AY19</f>
        <v>103000</v>
      </c>
      <c r="BA32" s="29">
        <f>AZ32+'CF'!AZ19</f>
        <v>103000</v>
      </c>
      <c r="BB32" s="29">
        <f>BA32+'CF'!BA19</f>
        <v>103000</v>
      </c>
      <c r="BC32" s="29">
        <f>BB32+'CF'!BB19</f>
        <v>103000</v>
      </c>
      <c r="BD32" s="29">
        <f>BC32+'CF'!BC19</f>
        <v>103000</v>
      </c>
      <c r="BE32" s="29">
        <f>BD32+'CF'!BD19</f>
        <v>103000</v>
      </c>
      <c r="BF32" s="29">
        <f>BE32+'CF'!BE19</f>
        <v>103000</v>
      </c>
      <c r="BG32" s="29">
        <f>BF32+'CF'!BF19</f>
        <v>103000</v>
      </c>
      <c r="BH32" s="29">
        <f>BG32+'CF'!BG19</f>
        <v>103000</v>
      </c>
      <c r="BI32" s="29">
        <f>BH32+'CF'!BH19</f>
        <v>103000</v>
      </c>
    </row>
    <row r="33" spans="1:61" ht="12.75">
      <c r="A33" s="24" t="s">
        <v>124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40000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60000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29">
        <f>AW33+'CF'!AW29</f>
        <v>0</v>
      </c>
      <c r="AY33" s="29">
        <f>AX33+'CF'!AX29</f>
        <v>0</v>
      </c>
      <c r="AZ33" s="29">
        <f>AY33+'CF'!AY29</f>
        <v>0</v>
      </c>
      <c r="BA33" s="29">
        <f>AZ33+'CF'!AZ29</f>
        <v>0</v>
      </c>
      <c r="BB33" s="29">
        <f>BA33+'CF'!BA29</f>
        <v>0</v>
      </c>
      <c r="BC33" s="29">
        <f>BB33+'CF'!BB29</f>
        <v>0</v>
      </c>
      <c r="BD33" s="29">
        <f>BC33+'CF'!BC29</f>
        <v>0</v>
      </c>
      <c r="BE33" s="29">
        <f>BD33+'CF'!BD29</f>
        <v>0</v>
      </c>
      <c r="BF33" s="29">
        <f>BE33+'CF'!BE29</f>
        <v>0</v>
      </c>
      <c r="BG33" s="29">
        <f>BF33+'CF'!BF29</f>
        <v>0</v>
      </c>
      <c r="BH33" s="29">
        <f>BG33+'CF'!BG29</f>
        <v>0</v>
      </c>
      <c r="BI33" s="29">
        <f>BH33+'CF'!BH29</f>
        <v>0</v>
      </c>
    </row>
    <row r="34" spans="1:28" s="9" customFormat="1" ht="12.75">
      <c r="A34" s="24"/>
      <c r="AB34" s="27"/>
    </row>
    <row r="35" spans="1:61" ht="12.75">
      <c r="A35" s="20" t="s">
        <v>52</v>
      </c>
      <c r="B35" s="5">
        <f aca="true" t="shared" si="12" ref="B35:AG35">SUM(B30:B34)</f>
        <v>92000</v>
      </c>
      <c r="C35" s="5">
        <f t="shared" si="12"/>
        <v>140000</v>
      </c>
      <c r="D35" s="5">
        <f t="shared" si="12"/>
        <v>180000</v>
      </c>
      <c r="E35" s="5">
        <f t="shared" si="12"/>
        <v>211000</v>
      </c>
      <c r="F35" s="5">
        <f t="shared" si="12"/>
        <v>237000</v>
      </c>
      <c r="G35" s="5">
        <f t="shared" si="12"/>
        <v>232000</v>
      </c>
      <c r="H35" s="5">
        <f t="shared" si="12"/>
        <v>278000</v>
      </c>
      <c r="I35" s="5">
        <f t="shared" si="12"/>
        <v>254000</v>
      </c>
      <c r="J35" s="5">
        <f t="shared" si="12"/>
        <v>241000</v>
      </c>
      <c r="K35" s="5">
        <f t="shared" si="12"/>
        <v>142000</v>
      </c>
      <c r="L35" s="5">
        <f t="shared" si="12"/>
        <v>151000</v>
      </c>
      <c r="M35" s="5">
        <f t="shared" si="12"/>
        <v>192000</v>
      </c>
      <c r="N35" s="5">
        <f t="shared" si="12"/>
        <v>189000</v>
      </c>
      <c r="O35" s="5">
        <f t="shared" si="12"/>
        <v>184000</v>
      </c>
      <c r="P35" s="5">
        <f t="shared" si="12"/>
        <v>187000</v>
      </c>
      <c r="Q35" s="5">
        <f t="shared" si="12"/>
        <v>190000</v>
      </c>
      <c r="R35" s="5">
        <f t="shared" si="12"/>
        <v>241000</v>
      </c>
      <c r="S35" s="5">
        <f t="shared" si="12"/>
        <v>239000</v>
      </c>
      <c r="T35" s="5">
        <f t="shared" si="12"/>
        <v>144000</v>
      </c>
      <c r="U35" s="5">
        <f t="shared" si="12"/>
        <v>129000</v>
      </c>
      <c r="V35" s="5">
        <f t="shared" si="12"/>
        <v>120000</v>
      </c>
      <c r="W35" s="5">
        <f t="shared" si="12"/>
        <v>78000</v>
      </c>
      <c r="X35" s="5">
        <f t="shared" si="12"/>
        <v>30000</v>
      </c>
      <c r="Y35" s="5">
        <f t="shared" si="12"/>
        <v>216000</v>
      </c>
      <c r="Z35" s="5">
        <f t="shared" si="12"/>
        <v>333000</v>
      </c>
      <c r="AA35" s="5">
        <f t="shared" si="12"/>
        <v>226000</v>
      </c>
      <c r="AB35" s="26">
        <f t="shared" si="12"/>
        <v>418000</v>
      </c>
      <c r="AC35" s="5">
        <f t="shared" si="12"/>
        <v>434000</v>
      </c>
      <c r="AD35" s="5">
        <f t="shared" si="12"/>
        <v>453000</v>
      </c>
      <c r="AE35" s="5">
        <f t="shared" si="12"/>
        <v>433000</v>
      </c>
      <c r="AF35" s="5">
        <f t="shared" si="12"/>
        <v>419000</v>
      </c>
      <c r="AG35" s="5">
        <f t="shared" si="12"/>
        <v>404000</v>
      </c>
      <c r="AH35" s="5">
        <f aca="true" t="shared" si="13" ref="AH35:BM35">SUM(AH30:AH34)</f>
        <v>325000</v>
      </c>
      <c r="AI35" s="5">
        <f t="shared" si="13"/>
        <v>272000</v>
      </c>
      <c r="AJ35" s="5">
        <f t="shared" si="13"/>
        <v>286000</v>
      </c>
      <c r="AK35" s="5">
        <f t="shared" si="13"/>
        <v>159000</v>
      </c>
      <c r="AL35" s="5">
        <f t="shared" si="13"/>
        <v>241000</v>
      </c>
      <c r="AM35" s="5">
        <f t="shared" si="13"/>
        <v>318000</v>
      </c>
      <c r="AN35" s="5">
        <f t="shared" si="13"/>
        <v>358000</v>
      </c>
      <c r="AO35" s="5">
        <f t="shared" si="13"/>
        <v>359000</v>
      </c>
      <c r="AP35" s="5">
        <f t="shared" si="13"/>
        <v>414000</v>
      </c>
      <c r="AQ35" s="5">
        <f t="shared" si="13"/>
        <v>367000</v>
      </c>
      <c r="AR35" s="5">
        <f t="shared" si="13"/>
        <v>364000</v>
      </c>
      <c r="AS35" s="5">
        <f t="shared" si="13"/>
        <v>369000</v>
      </c>
      <c r="AT35" s="5">
        <f t="shared" si="13"/>
        <v>295000</v>
      </c>
      <c r="AU35" s="5">
        <f t="shared" si="13"/>
        <v>253000</v>
      </c>
      <c r="AV35" s="5">
        <f t="shared" si="13"/>
        <v>179000</v>
      </c>
      <c r="AW35" s="5">
        <f t="shared" si="13"/>
        <v>113000</v>
      </c>
      <c r="AX35" s="5">
        <f t="shared" si="13"/>
        <v>181430.00000000003</v>
      </c>
      <c r="AY35" s="5">
        <f t="shared" si="13"/>
        <v>141874</v>
      </c>
      <c r="AZ35" s="5">
        <f t="shared" si="13"/>
        <v>136077</v>
      </c>
      <c r="BA35" s="5">
        <f t="shared" si="13"/>
        <v>198480.00000000003</v>
      </c>
      <c r="BB35" s="5">
        <f t="shared" si="13"/>
        <v>194388.00000000003</v>
      </c>
      <c r="BC35" s="5">
        <f t="shared" si="13"/>
        <v>212802.00000000003</v>
      </c>
      <c r="BD35" s="5">
        <f t="shared" si="13"/>
        <v>193706.00000000003</v>
      </c>
      <c r="BE35" s="5">
        <f t="shared" si="13"/>
        <v>243151.00000000006</v>
      </c>
      <c r="BF35" s="5">
        <f t="shared" si="13"/>
        <v>176997.00000000003</v>
      </c>
      <c r="BG35" s="5">
        <f t="shared" si="13"/>
        <v>190978.00000000003</v>
      </c>
      <c r="BH35" s="5">
        <f t="shared" si="13"/>
        <v>169154.00000000003</v>
      </c>
      <c r="BI35" s="5">
        <f t="shared" si="13"/>
        <v>105489.3</v>
      </c>
    </row>
    <row r="36" ht="12.75">
      <c r="A36" s="21"/>
    </row>
    <row r="37" ht="12.75">
      <c r="A37" s="20" t="s">
        <v>53</v>
      </c>
    </row>
    <row r="38" spans="1:61" ht="12.75">
      <c r="A38" s="21" t="s">
        <v>54</v>
      </c>
      <c r="B38" s="5">
        <v>169000</v>
      </c>
      <c r="C38" s="5">
        <v>165000</v>
      </c>
      <c r="D38" s="5">
        <v>162000</v>
      </c>
      <c r="E38" s="5">
        <v>158000</v>
      </c>
      <c r="F38" s="5">
        <v>153000</v>
      </c>
      <c r="G38" s="5">
        <v>150000</v>
      </c>
      <c r="H38" s="5">
        <v>174000</v>
      </c>
      <c r="I38" s="5">
        <v>169000</v>
      </c>
      <c r="J38" s="5">
        <v>204000</v>
      </c>
      <c r="K38" s="5">
        <v>199000</v>
      </c>
      <c r="L38" s="5">
        <v>222000</v>
      </c>
      <c r="M38" s="5">
        <v>220000</v>
      </c>
      <c r="N38" s="5">
        <v>216000</v>
      </c>
      <c r="O38" s="5">
        <v>211000</v>
      </c>
      <c r="P38" s="5">
        <v>206000</v>
      </c>
      <c r="Q38" s="5">
        <v>275000</v>
      </c>
      <c r="R38" s="5">
        <v>273000</v>
      </c>
      <c r="S38" s="5">
        <v>266000</v>
      </c>
      <c r="T38" s="5">
        <v>258000</v>
      </c>
      <c r="U38" s="5">
        <v>251000</v>
      </c>
      <c r="V38" s="5">
        <v>243000</v>
      </c>
      <c r="W38" s="5">
        <v>262000</v>
      </c>
      <c r="X38" s="5">
        <v>255000</v>
      </c>
      <c r="Y38" s="5">
        <v>247000</v>
      </c>
      <c r="Z38" s="5">
        <v>239000</v>
      </c>
      <c r="AA38" s="5">
        <v>231000</v>
      </c>
      <c r="AB38" s="26">
        <v>223000</v>
      </c>
      <c r="AC38" s="5">
        <v>215000</v>
      </c>
      <c r="AD38" s="5">
        <v>284000</v>
      </c>
      <c r="AE38" s="5">
        <v>275000</v>
      </c>
      <c r="AF38" s="5">
        <v>265000</v>
      </c>
      <c r="AG38" s="5">
        <v>256000</v>
      </c>
      <c r="AH38" s="5">
        <v>246000</v>
      </c>
      <c r="AI38" s="5">
        <v>236000</v>
      </c>
      <c r="AJ38" s="5">
        <v>227000</v>
      </c>
      <c r="AK38" s="5">
        <v>217000</v>
      </c>
      <c r="AL38" s="5">
        <v>207000</v>
      </c>
      <c r="AM38" s="5">
        <v>197000</v>
      </c>
      <c r="AN38" s="5">
        <v>187000</v>
      </c>
      <c r="AO38" s="5">
        <v>199000</v>
      </c>
      <c r="AP38" s="5">
        <v>187000</v>
      </c>
      <c r="AQ38" s="5">
        <v>176000</v>
      </c>
      <c r="AR38" s="5">
        <v>165000</v>
      </c>
      <c r="AS38" s="5">
        <v>154000</v>
      </c>
      <c r="AT38" s="5">
        <v>143000</v>
      </c>
      <c r="AU38" s="5">
        <v>132000</v>
      </c>
      <c r="AV38" s="5">
        <v>156000</v>
      </c>
      <c r="AW38" s="5">
        <v>169000</v>
      </c>
      <c r="AX38" s="29">
        <f>AW38+'CF'!AW30</f>
        <v>159000</v>
      </c>
      <c r="AY38" s="29">
        <f>AX38+'CF'!AX30</f>
        <v>149000</v>
      </c>
      <c r="AZ38" s="29">
        <f>AY38+'CF'!AY30</f>
        <v>139000</v>
      </c>
      <c r="BA38" s="29">
        <f>AZ38+'CF'!AZ30</f>
        <v>129000</v>
      </c>
      <c r="BB38" s="29">
        <f>BA38+'CF'!BA30</f>
        <v>119000</v>
      </c>
      <c r="BC38" s="29">
        <f>BB38+'CF'!BB30</f>
        <v>109000</v>
      </c>
      <c r="BD38" s="29">
        <f>BC38+'CF'!BC30</f>
        <v>99000</v>
      </c>
      <c r="BE38" s="29">
        <f>BD38+'CF'!BD30</f>
        <v>89000</v>
      </c>
      <c r="BF38" s="29">
        <f>BE38+'CF'!BE30</f>
        <v>79000</v>
      </c>
      <c r="BG38" s="29">
        <f>BF38+'CF'!BF30</f>
        <v>69000</v>
      </c>
      <c r="BH38" s="29">
        <f>BG38+'CF'!BG30</f>
        <v>59000</v>
      </c>
      <c r="BI38" s="29">
        <f>BH38+'CF'!BH30</f>
        <v>49000</v>
      </c>
    </row>
    <row r="39" spans="1:28" s="9" customFormat="1" ht="12.75">
      <c r="A39" s="24"/>
      <c r="AB39" s="27"/>
    </row>
    <row r="40" spans="1:61" ht="12.75">
      <c r="A40" s="20" t="s">
        <v>55</v>
      </c>
      <c r="B40" s="5">
        <f aca="true" t="shared" si="14" ref="B40:AG40">SUM(B38:B38)</f>
        <v>169000</v>
      </c>
      <c r="C40" s="5">
        <f t="shared" si="14"/>
        <v>165000</v>
      </c>
      <c r="D40" s="5">
        <f t="shared" si="14"/>
        <v>162000</v>
      </c>
      <c r="E40" s="5">
        <f t="shared" si="14"/>
        <v>158000</v>
      </c>
      <c r="F40" s="5">
        <f t="shared" si="14"/>
        <v>153000</v>
      </c>
      <c r="G40" s="5">
        <f t="shared" si="14"/>
        <v>150000</v>
      </c>
      <c r="H40" s="5">
        <f t="shared" si="14"/>
        <v>174000</v>
      </c>
      <c r="I40" s="5">
        <f t="shared" si="14"/>
        <v>169000</v>
      </c>
      <c r="J40" s="5">
        <f t="shared" si="14"/>
        <v>204000</v>
      </c>
      <c r="K40" s="5">
        <f t="shared" si="14"/>
        <v>199000</v>
      </c>
      <c r="L40" s="5">
        <f t="shared" si="14"/>
        <v>222000</v>
      </c>
      <c r="M40" s="5">
        <f t="shared" si="14"/>
        <v>220000</v>
      </c>
      <c r="N40" s="5">
        <f t="shared" si="14"/>
        <v>216000</v>
      </c>
      <c r="O40" s="5">
        <f t="shared" si="14"/>
        <v>211000</v>
      </c>
      <c r="P40" s="5">
        <f t="shared" si="14"/>
        <v>206000</v>
      </c>
      <c r="Q40" s="5">
        <f t="shared" si="14"/>
        <v>275000</v>
      </c>
      <c r="R40" s="5">
        <f t="shared" si="14"/>
        <v>273000</v>
      </c>
      <c r="S40" s="5">
        <f t="shared" si="14"/>
        <v>266000</v>
      </c>
      <c r="T40" s="5">
        <f t="shared" si="14"/>
        <v>258000</v>
      </c>
      <c r="U40" s="5">
        <f t="shared" si="14"/>
        <v>251000</v>
      </c>
      <c r="V40" s="5">
        <f t="shared" si="14"/>
        <v>243000</v>
      </c>
      <c r="W40" s="5">
        <f t="shared" si="14"/>
        <v>262000</v>
      </c>
      <c r="X40" s="5">
        <f t="shared" si="14"/>
        <v>255000</v>
      </c>
      <c r="Y40" s="5">
        <f t="shared" si="14"/>
        <v>247000</v>
      </c>
      <c r="Z40" s="5">
        <f t="shared" si="14"/>
        <v>239000</v>
      </c>
      <c r="AA40" s="5">
        <f t="shared" si="14"/>
        <v>231000</v>
      </c>
      <c r="AB40" s="26">
        <f t="shared" si="14"/>
        <v>223000</v>
      </c>
      <c r="AC40" s="5">
        <f t="shared" si="14"/>
        <v>215000</v>
      </c>
      <c r="AD40" s="5">
        <f t="shared" si="14"/>
        <v>284000</v>
      </c>
      <c r="AE40" s="5">
        <f t="shared" si="14"/>
        <v>275000</v>
      </c>
      <c r="AF40" s="5">
        <f t="shared" si="14"/>
        <v>265000</v>
      </c>
      <c r="AG40" s="5">
        <f t="shared" si="14"/>
        <v>256000</v>
      </c>
      <c r="AH40" s="5">
        <f aca="true" t="shared" si="15" ref="AH40:BI40">SUM(AH38:AH38)</f>
        <v>246000</v>
      </c>
      <c r="AI40" s="5">
        <f t="shared" si="15"/>
        <v>236000</v>
      </c>
      <c r="AJ40" s="5">
        <f t="shared" si="15"/>
        <v>227000</v>
      </c>
      <c r="AK40" s="5">
        <f t="shared" si="15"/>
        <v>217000</v>
      </c>
      <c r="AL40" s="5">
        <f t="shared" si="15"/>
        <v>207000</v>
      </c>
      <c r="AM40" s="5">
        <f t="shared" si="15"/>
        <v>197000</v>
      </c>
      <c r="AN40" s="5">
        <f t="shared" si="15"/>
        <v>187000</v>
      </c>
      <c r="AO40" s="5">
        <f t="shared" si="15"/>
        <v>199000</v>
      </c>
      <c r="AP40" s="5">
        <f t="shared" si="15"/>
        <v>187000</v>
      </c>
      <c r="AQ40" s="5">
        <f t="shared" si="15"/>
        <v>176000</v>
      </c>
      <c r="AR40" s="5">
        <f t="shared" si="15"/>
        <v>165000</v>
      </c>
      <c r="AS40" s="5">
        <f t="shared" si="15"/>
        <v>154000</v>
      </c>
      <c r="AT40" s="5">
        <f t="shared" si="15"/>
        <v>143000</v>
      </c>
      <c r="AU40" s="5">
        <f t="shared" si="15"/>
        <v>132000</v>
      </c>
      <c r="AV40" s="5">
        <f t="shared" si="15"/>
        <v>156000</v>
      </c>
      <c r="AW40" s="5">
        <f t="shared" si="15"/>
        <v>169000</v>
      </c>
      <c r="AX40" s="5">
        <f t="shared" si="15"/>
        <v>159000</v>
      </c>
      <c r="AY40" s="5">
        <f t="shared" si="15"/>
        <v>149000</v>
      </c>
      <c r="AZ40" s="5">
        <f t="shared" si="15"/>
        <v>139000</v>
      </c>
      <c r="BA40" s="5">
        <f t="shared" si="15"/>
        <v>129000</v>
      </c>
      <c r="BB40" s="5">
        <f t="shared" si="15"/>
        <v>119000</v>
      </c>
      <c r="BC40" s="5">
        <f t="shared" si="15"/>
        <v>109000</v>
      </c>
      <c r="BD40" s="5">
        <f t="shared" si="15"/>
        <v>99000</v>
      </c>
      <c r="BE40" s="5">
        <f t="shared" si="15"/>
        <v>89000</v>
      </c>
      <c r="BF40" s="5">
        <f t="shared" si="15"/>
        <v>79000</v>
      </c>
      <c r="BG40" s="5">
        <f t="shared" si="15"/>
        <v>69000</v>
      </c>
      <c r="BH40" s="5">
        <f t="shared" si="15"/>
        <v>59000</v>
      </c>
      <c r="BI40" s="5">
        <f t="shared" si="15"/>
        <v>49000</v>
      </c>
    </row>
    <row r="41" ht="12.75">
      <c r="A41" s="21"/>
    </row>
    <row r="42" spans="1:61" ht="12.75">
      <c r="A42" s="20" t="s">
        <v>6</v>
      </c>
      <c r="B42" s="5">
        <f aca="true" t="shared" si="16" ref="B42:AG42">B35+B40</f>
        <v>261000</v>
      </c>
      <c r="C42" s="5">
        <f t="shared" si="16"/>
        <v>305000</v>
      </c>
      <c r="D42" s="5">
        <f t="shared" si="16"/>
        <v>342000</v>
      </c>
      <c r="E42" s="5">
        <f t="shared" si="16"/>
        <v>369000</v>
      </c>
      <c r="F42" s="5">
        <f t="shared" si="16"/>
        <v>390000</v>
      </c>
      <c r="G42" s="5">
        <f t="shared" si="16"/>
        <v>382000</v>
      </c>
      <c r="H42" s="5">
        <f t="shared" si="16"/>
        <v>452000</v>
      </c>
      <c r="I42" s="5">
        <f t="shared" si="16"/>
        <v>423000</v>
      </c>
      <c r="J42" s="5">
        <f t="shared" si="16"/>
        <v>445000</v>
      </c>
      <c r="K42" s="5">
        <f t="shared" si="16"/>
        <v>341000</v>
      </c>
      <c r="L42" s="5">
        <f t="shared" si="16"/>
        <v>373000</v>
      </c>
      <c r="M42" s="5">
        <f t="shared" si="16"/>
        <v>412000</v>
      </c>
      <c r="N42" s="5">
        <f t="shared" si="16"/>
        <v>405000</v>
      </c>
      <c r="O42" s="5">
        <f t="shared" si="16"/>
        <v>395000</v>
      </c>
      <c r="P42" s="5">
        <f t="shared" si="16"/>
        <v>393000</v>
      </c>
      <c r="Q42" s="5">
        <f t="shared" si="16"/>
        <v>465000</v>
      </c>
      <c r="R42" s="5">
        <f t="shared" si="16"/>
        <v>514000</v>
      </c>
      <c r="S42" s="5">
        <f t="shared" si="16"/>
        <v>505000</v>
      </c>
      <c r="T42" s="5">
        <f t="shared" si="16"/>
        <v>402000</v>
      </c>
      <c r="U42" s="5">
        <f t="shared" si="16"/>
        <v>380000</v>
      </c>
      <c r="V42" s="5">
        <f t="shared" si="16"/>
        <v>363000</v>
      </c>
      <c r="W42" s="5">
        <f t="shared" si="16"/>
        <v>340000</v>
      </c>
      <c r="X42" s="5">
        <f t="shared" si="16"/>
        <v>285000</v>
      </c>
      <c r="Y42" s="5">
        <f t="shared" si="16"/>
        <v>463000</v>
      </c>
      <c r="Z42" s="5">
        <f t="shared" si="16"/>
        <v>572000</v>
      </c>
      <c r="AA42" s="5">
        <f t="shared" si="16"/>
        <v>457000</v>
      </c>
      <c r="AB42" s="26">
        <f t="shared" si="16"/>
        <v>641000</v>
      </c>
      <c r="AC42" s="5">
        <f t="shared" si="16"/>
        <v>649000</v>
      </c>
      <c r="AD42" s="5">
        <f t="shared" si="16"/>
        <v>737000</v>
      </c>
      <c r="AE42" s="5">
        <f t="shared" si="16"/>
        <v>708000</v>
      </c>
      <c r="AF42" s="5">
        <f t="shared" si="16"/>
        <v>684000</v>
      </c>
      <c r="AG42" s="5">
        <f t="shared" si="16"/>
        <v>660000</v>
      </c>
      <c r="AH42" s="5">
        <f aca="true" t="shared" si="17" ref="AH42:BI42">AH35+AH40</f>
        <v>571000</v>
      </c>
      <c r="AI42" s="5">
        <f t="shared" si="17"/>
        <v>508000</v>
      </c>
      <c r="AJ42" s="5">
        <f t="shared" si="17"/>
        <v>513000</v>
      </c>
      <c r="AK42" s="5">
        <f t="shared" si="17"/>
        <v>376000</v>
      </c>
      <c r="AL42" s="5">
        <f t="shared" si="17"/>
        <v>448000</v>
      </c>
      <c r="AM42" s="5">
        <f t="shared" si="17"/>
        <v>515000</v>
      </c>
      <c r="AN42" s="5">
        <f t="shared" si="17"/>
        <v>545000</v>
      </c>
      <c r="AO42" s="5">
        <f t="shared" si="17"/>
        <v>558000</v>
      </c>
      <c r="AP42" s="5">
        <f t="shared" si="17"/>
        <v>601000</v>
      </c>
      <c r="AQ42" s="5">
        <f t="shared" si="17"/>
        <v>543000</v>
      </c>
      <c r="AR42" s="5">
        <f t="shared" si="17"/>
        <v>529000</v>
      </c>
      <c r="AS42" s="5">
        <f t="shared" si="17"/>
        <v>523000</v>
      </c>
      <c r="AT42" s="5">
        <f t="shared" si="17"/>
        <v>438000</v>
      </c>
      <c r="AU42" s="5">
        <f t="shared" si="17"/>
        <v>385000</v>
      </c>
      <c r="AV42" s="5">
        <f t="shared" si="17"/>
        <v>335000</v>
      </c>
      <c r="AW42" s="5">
        <f t="shared" si="17"/>
        <v>282000</v>
      </c>
      <c r="AX42" s="5">
        <f t="shared" si="17"/>
        <v>340430</v>
      </c>
      <c r="AY42" s="5">
        <f t="shared" si="17"/>
        <v>290874</v>
      </c>
      <c r="AZ42" s="5">
        <f t="shared" si="17"/>
        <v>275077</v>
      </c>
      <c r="BA42" s="5">
        <f t="shared" si="17"/>
        <v>327480</v>
      </c>
      <c r="BB42" s="5">
        <f t="shared" si="17"/>
        <v>313388</v>
      </c>
      <c r="BC42" s="5">
        <f t="shared" si="17"/>
        <v>321802</v>
      </c>
      <c r="BD42" s="5">
        <f t="shared" si="17"/>
        <v>292706</v>
      </c>
      <c r="BE42" s="5">
        <f t="shared" si="17"/>
        <v>332151.00000000006</v>
      </c>
      <c r="BF42" s="5">
        <f t="shared" si="17"/>
        <v>255997.00000000003</v>
      </c>
      <c r="BG42" s="5">
        <f t="shared" si="17"/>
        <v>259978.00000000003</v>
      </c>
      <c r="BH42" s="5">
        <f t="shared" si="17"/>
        <v>228154.00000000003</v>
      </c>
      <c r="BI42" s="5">
        <f t="shared" si="17"/>
        <v>154489.3</v>
      </c>
    </row>
    <row r="43" ht="12.75">
      <c r="A43" s="21"/>
    </row>
    <row r="44" ht="12.75">
      <c r="A44" s="20" t="s">
        <v>56</v>
      </c>
    </row>
    <row r="45" spans="1:61" ht="12.75">
      <c r="A45" s="21" t="s">
        <v>109</v>
      </c>
      <c r="B45" s="5">
        <v>2600</v>
      </c>
      <c r="C45" s="5">
        <v>2600</v>
      </c>
      <c r="D45" s="5">
        <v>2600</v>
      </c>
      <c r="E45" s="5">
        <v>2600</v>
      </c>
      <c r="F45" s="5">
        <v>2600</v>
      </c>
      <c r="G45" s="5">
        <v>2600</v>
      </c>
      <c r="H45" s="5">
        <v>2600</v>
      </c>
      <c r="I45" s="5">
        <v>2600</v>
      </c>
      <c r="J45" s="5">
        <v>2600</v>
      </c>
      <c r="K45" s="5">
        <v>2600</v>
      </c>
      <c r="L45" s="5">
        <v>2600</v>
      </c>
      <c r="M45" s="5">
        <v>2600</v>
      </c>
      <c r="N45" s="5">
        <v>2600</v>
      </c>
      <c r="O45" s="5">
        <v>2600</v>
      </c>
      <c r="P45" s="5">
        <v>2600</v>
      </c>
      <c r="Q45" s="5">
        <v>2600</v>
      </c>
      <c r="R45" s="5">
        <v>2600</v>
      </c>
      <c r="S45" s="5">
        <v>2600</v>
      </c>
      <c r="T45" s="5">
        <v>2600</v>
      </c>
      <c r="U45" s="5">
        <v>2600</v>
      </c>
      <c r="V45" s="5">
        <v>2600</v>
      </c>
      <c r="W45" s="5">
        <v>2600</v>
      </c>
      <c r="X45" s="5">
        <v>2600</v>
      </c>
      <c r="Y45" s="5">
        <v>2600</v>
      </c>
      <c r="Z45" s="5">
        <v>2600</v>
      </c>
      <c r="AA45" s="5">
        <v>2600</v>
      </c>
      <c r="AB45" s="5">
        <v>2600</v>
      </c>
      <c r="AC45" s="5">
        <v>2600</v>
      </c>
      <c r="AD45" s="5">
        <v>2600</v>
      </c>
      <c r="AE45" s="5">
        <v>2600</v>
      </c>
      <c r="AF45" s="5">
        <v>2600</v>
      </c>
      <c r="AG45" s="5">
        <v>2600</v>
      </c>
      <c r="AH45" s="5">
        <v>2600</v>
      </c>
      <c r="AI45" s="5">
        <v>2600</v>
      </c>
      <c r="AJ45" s="5">
        <v>2600</v>
      </c>
      <c r="AK45" s="5">
        <v>2600</v>
      </c>
      <c r="AL45" s="5">
        <v>2600</v>
      </c>
      <c r="AM45" s="5">
        <v>2600</v>
      </c>
      <c r="AN45" s="5">
        <v>2600</v>
      </c>
      <c r="AO45" s="5">
        <v>2600</v>
      </c>
      <c r="AP45" s="5">
        <v>2600</v>
      </c>
      <c r="AQ45" s="5">
        <v>2600</v>
      </c>
      <c r="AR45" s="5">
        <v>2600</v>
      </c>
      <c r="AS45" s="5">
        <v>2600</v>
      </c>
      <c r="AT45" s="5">
        <v>2600</v>
      </c>
      <c r="AU45" s="5">
        <v>2600</v>
      </c>
      <c r="AV45" s="5">
        <v>2600</v>
      </c>
      <c r="AW45" s="5">
        <v>2600</v>
      </c>
      <c r="AX45" s="5">
        <f>AW45</f>
        <v>2600</v>
      </c>
      <c r="AY45" s="5">
        <f>AX45</f>
        <v>2600</v>
      </c>
      <c r="AZ45" s="5">
        <f aca="true" t="shared" si="18" ref="AZ45:BI45">AY45</f>
        <v>2600</v>
      </c>
      <c r="BA45" s="5">
        <f t="shared" si="18"/>
        <v>2600</v>
      </c>
      <c r="BB45" s="5">
        <f t="shared" si="18"/>
        <v>2600</v>
      </c>
      <c r="BC45" s="5">
        <f t="shared" si="18"/>
        <v>2600</v>
      </c>
      <c r="BD45" s="5">
        <f t="shared" si="18"/>
        <v>2600</v>
      </c>
      <c r="BE45" s="5">
        <f t="shared" si="18"/>
        <v>2600</v>
      </c>
      <c r="BF45" s="5">
        <f t="shared" si="18"/>
        <v>2600</v>
      </c>
      <c r="BG45" s="5">
        <f t="shared" si="18"/>
        <v>2600</v>
      </c>
      <c r="BH45" s="5">
        <f t="shared" si="18"/>
        <v>2600</v>
      </c>
      <c r="BI45" s="5">
        <f t="shared" si="18"/>
        <v>2600</v>
      </c>
    </row>
    <row r="46" spans="1:61" ht="12.75">
      <c r="A46" s="21" t="s">
        <v>125</v>
      </c>
      <c r="B46" s="5">
        <v>-3000</v>
      </c>
      <c r="C46" s="5">
        <v>-5000</v>
      </c>
      <c r="D46" s="5">
        <v>-8000</v>
      </c>
      <c r="E46" s="5">
        <v>-22000</v>
      </c>
      <c r="F46" s="5">
        <v>-26000</v>
      </c>
      <c r="G46" s="5">
        <v>-29000</v>
      </c>
      <c r="H46" s="5">
        <v>-33000</v>
      </c>
      <c r="I46" s="5">
        <v>-37000</v>
      </c>
      <c r="J46" s="5">
        <v>-40000</v>
      </c>
      <c r="K46" s="5">
        <v>-44000</v>
      </c>
      <c r="L46" s="5">
        <v>-48000</v>
      </c>
      <c r="M46" s="5">
        <v>-50000</v>
      </c>
      <c r="N46" s="5">
        <v>-9000</v>
      </c>
      <c r="O46" s="5">
        <f>N46-10000</f>
        <v>-19000</v>
      </c>
      <c r="P46" s="5">
        <f aca="true" t="shared" si="19" ref="P46:Y46">O46-10000</f>
        <v>-29000</v>
      </c>
      <c r="Q46" s="5">
        <f t="shared" si="19"/>
        <v>-39000</v>
      </c>
      <c r="R46" s="5">
        <f t="shared" si="19"/>
        <v>-49000</v>
      </c>
      <c r="S46" s="5">
        <f t="shared" si="19"/>
        <v>-59000</v>
      </c>
      <c r="T46" s="5">
        <f t="shared" si="19"/>
        <v>-69000</v>
      </c>
      <c r="U46" s="5">
        <f t="shared" si="19"/>
        <v>-79000</v>
      </c>
      <c r="V46" s="5">
        <f t="shared" si="19"/>
        <v>-89000</v>
      </c>
      <c r="W46" s="5">
        <f t="shared" si="19"/>
        <v>-99000</v>
      </c>
      <c r="X46" s="5">
        <f t="shared" si="19"/>
        <v>-109000</v>
      </c>
      <c r="Y46" s="5">
        <f t="shared" si="19"/>
        <v>-119000</v>
      </c>
      <c r="Z46" s="5">
        <v>-1000</v>
      </c>
      <c r="AA46" s="5">
        <v>-5000</v>
      </c>
      <c r="AB46" s="26">
        <v>-7000</v>
      </c>
      <c r="AC46" s="5">
        <v>-17000</v>
      </c>
      <c r="AD46" s="5">
        <v>-23000</v>
      </c>
      <c r="AE46" s="5">
        <v>-23000</v>
      </c>
      <c r="AF46" s="5">
        <v>-34000</v>
      </c>
      <c r="AG46" s="5">
        <v>-49000</v>
      </c>
      <c r="AH46" s="5">
        <v>-50000</v>
      </c>
      <c r="AI46" s="5">
        <v>-60000</v>
      </c>
      <c r="AJ46" s="5">
        <v>-60000</v>
      </c>
      <c r="AK46" s="5">
        <v>-66000</v>
      </c>
      <c r="AL46" s="5">
        <v>-30000</v>
      </c>
      <c r="AM46" s="5">
        <v>-30000</v>
      </c>
      <c r="AN46" s="5">
        <v>-30000</v>
      </c>
      <c r="AO46" s="5">
        <v>-30000</v>
      </c>
      <c r="AP46" s="5">
        <v>-30000</v>
      </c>
      <c r="AQ46" s="5">
        <v>-45000</v>
      </c>
      <c r="AR46" s="5">
        <v>-45000</v>
      </c>
      <c r="AS46" s="5">
        <v>-45000</v>
      </c>
      <c r="AT46" s="5">
        <v>-90000</v>
      </c>
      <c r="AU46" s="5">
        <v>-90000</v>
      </c>
      <c r="AV46" s="5">
        <v>-90000</v>
      </c>
      <c r="AW46" s="5">
        <v>-200000</v>
      </c>
      <c r="AX46" s="29">
        <f>+'CF'!AW31</f>
        <v>0</v>
      </c>
      <c r="AY46" s="29">
        <f>AX46+'CF'!AX31</f>
        <v>0</v>
      </c>
      <c r="AZ46" s="29">
        <f>AY46+'CF'!AY31</f>
        <v>0</v>
      </c>
      <c r="BA46" s="29">
        <f>AZ46+'CF'!AZ31</f>
        <v>0</v>
      </c>
      <c r="BB46" s="29">
        <f>BA46+'CF'!BA31</f>
        <v>0</v>
      </c>
      <c r="BC46" s="29">
        <f>BB46+'CF'!BB31</f>
        <v>0</v>
      </c>
      <c r="BD46" s="29">
        <f>BC46+'CF'!BC31</f>
        <v>0</v>
      </c>
      <c r="BE46" s="29">
        <f>BD46+'CF'!BD31</f>
        <v>0</v>
      </c>
      <c r="BF46" s="29">
        <f>BE46+'CF'!BE31</f>
        <v>0</v>
      </c>
      <c r="BG46" s="29">
        <f>BF46+'CF'!BF31</f>
        <v>0</v>
      </c>
      <c r="BH46" s="29">
        <f>BG46+'CF'!BG31</f>
        <v>0</v>
      </c>
      <c r="BI46" s="29">
        <f>BH46+'CF'!BH31</f>
        <v>0</v>
      </c>
    </row>
    <row r="47" spans="1:61" ht="12.75">
      <c r="A47" s="21" t="s">
        <v>57</v>
      </c>
      <c r="B47" s="5">
        <v>50000</v>
      </c>
      <c r="C47" s="5">
        <v>50000</v>
      </c>
      <c r="D47" s="5">
        <v>50000</v>
      </c>
      <c r="E47" s="5">
        <v>50000</v>
      </c>
      <c r="F47" s="5">
        <v>50000</v>
      </c>
      <c r="G47" s="5">
        <v>50000</v>
      </c>
      <c r="H47" s="5">
        <v>50000</v>
      </c>
      <c r="I47" s="5">
        <v>50000</v>
      </c>
      <c r="J47" s="5">
        <v>50000</v>
      </c>
      <c r="K47" s="5">
        <v>50000</v>
      </c>
      <c r="L47" s="5">
        <v>50000</v>
      </c>
      <c r="M47" s="5">
        <v>50000</v>
      </c>
      <c r="N47" s="5">
        <f>M46+M47+M48</f>
        <v>66424</v>
      </c>
      <c r="O47" s="5">
        <f>N47</f>
        <v>66424</v>
      </c>
      <c r="P47" s="5">
        <f aca="true" t="shared" si="20" ref="P47:Y47">O47</f>
        <v>66424</v>
      </c>
      <c r="Q47" s="5">
        <f t="shared" si="20"/>
        <v>66424</v>
      </c>
      <c r="R47" s="5">
        <f t="shared" si="20"/>
        <v>66424</v>
      </c>
      <c r="S47" s="5">
        <f t="shared" si="20"/>
        <v>66424</v>
      </c>
      <c r="T47" s="5">
        <f t="shared" si="20"/>
        <v>66424</v>
      </c>
      <c r="U47" s="5">
        <f t="shared" si="20"/>
        <v>66424</v>
      </c>
      <c r="V47" s="5">
        <f t="shared" si="20"/>
        <v>66424</v>
      </c>
      <c r="W47" s="5">
        <f t="shared" si="20"/>
        <v>66424</v>
      </c>
      <c r="X47" s="5">
        <f t="shared" si="20"/>
        <v>66424</v>
      </c>
      <c r="Y47" s="5">
        <f t="shared" si="20"/>
        <v>66424</v>
      </c>
      <c r="Z47" s="5">
        <f>Y46+Y47+Y48</f>
        <v>43588</v>
      </c>
      <c r="AA47" s="5">
        <f>Z47</f>
        <v>43588</v>
      </c>
      <c r="AB47" s="5">
        <f aca="true" t="shared" si="21" ref="AB47:AK47">AA47</f>
        <v>43588</v>
      </c>
      <c r="AC47" s="5">
        <f t="shared" si="21"/>
        <v>43588</v>
      </c>
      <c r="AD47" s="5">
        <f t="shared" si="21"/>
        <v>43588</v>
      </c>
      <c r="AE47" s="5">
        <f t="shared" si="21"/>
        <v>43588</v>
      </c>
      <c r="AF47" s="5">
        <f t="shared" si="21"/>
        <v>43588</v>
      </c>
      <c r="AG47" s="5">
        <f t="shared" si="21"/>
        <v>43588</v>
      </c>
      <c r="AH47" s="5">
        <f t="shared" si="21"/>
        <v>43588</v>
      </c>
      <c r="AI47" s="5">
        <f t="shared" si="21"/>
        <v>43588</v>
      </c>
      <c r="AJ47" s="5">
        <f t="shared" si="21"/>
        <v>43588</v>
      </c>
      <c r="AK47" s="5">
        <f t="shared" si="21"/>
        <v>43588</v>
      </c>
      <c r="AL47" s="5">
        <f>AK46+AK47+AK48</f>
        <v>210564</v>
      </c>
      <c r="AM47" s="5">
        <f>AL47</f>
        <v>210564</v>
      </c>
      <c r="AN47" s="5">
        <f aca="true" t="shared" si="22" ref="AN47:AW47">AM47</f>
        <v>210564</v>
      </c>
      <c r="AO47" s="5">
        <f t="shared" si="22"/>
        <v>210564</v>
      </c>
      <c r="AP47" s="5">
        <f t="shared" si="22"/>
        <v>210564</v>
      </c>
      <c r="AQ47" s="5">
        <f t="shared" si="22"/>
        <v>210564</v>
      </c>
      <c r="AR47" s="5">
        <f t="shared" si="22"/>
        <v>210564</v>
      </c>
      <c r="AS47" s="5">
        <f t="shared" si="22"/>
        <v>210564</v>
      </c>
      <c r="AT47" s="5">
        <f t="shared" si="22"/>
        <v>210564</v>
      </c>
      <c r="AU47" s="5">
        <f t="shared" si="22"/>
        <v>210564</v>
      </c>
      <c r="AV47" s="5">
        <f t="shared" si="22"/>
        <v>210564</v>
      </c>
      <c r="AW47" s="5">
        <f t="shared" si="22"/>
        <v>210564</v>
      </c>
      <c r="AX47" s="5">
        <f>AW46+AW47+AW48</f>
        <v>339276</v>
      </c>
      <c r="AY47" s="5">
        <f>AX47</f>
        <v>339276</v>
      </c>
      <c r="AZ47" s="5">
        <f aca="true" t="shared" si="23" ref="AZ47:BI47">AY47</f>
        <v>339276</v>
      </c>
      <c r="BA47" s="5">
        <f t="shared" si="23"/>
        <v>339276</v>
      </c>
      <c r="BB47" s="5">
        <f t="shared" si="23"/>
        <v>339276</v>
      </c>
      <c r="BC47" s="5">
        <f t="shared" si="23"/>
        <v>339276</v>
      </c>
      <c r="BD47" s="5">
        <f t="shared" si="23"/>
        <v>339276</v>
      </c>
      <c r="BE47" s="5">
        <f t="shared" si="23"/>
        <v>339276</v>
      </c>
      <c r="BF47" s="5">
        <f t="shared" si="23"/>
        <v>339276</v>
      </c>
      <c r="BG47" s="5">
        <f t="shared" si="23"/>
        <v>339276</v>
      </c>
      <c r="BH47" s="5">
        <f t="shared" si="23"/>
        <v>339276</v>
      </c>
      <c r="BI47" s="5">
        <f t="shared" si="23"/>
        <v>339276</v>
      </c>
    </row>
    <row r="48" spans="1:61" ht="12.75">
      <c r="A48" s="21" t="s">
        <v>58</v>
      </c>
      <c r="B48" s="5">
        <f>'PL by Month'!B39</f>
        <v>11014</v>
      </c>
      <c r="C48" s="5">
        <f>'PL by Month'!C39</f>
        <v>-949</v>
      </c>
      <c r="D48" s="5">
        <f>'PL by Month'!D39</f>
        <v>-100894</v>
      </c>
      <c r="E48" s="5">
        <f>'PL by Month'!E39</f>
        <v>-138816</v>
      </c>
      <c r="F48" s="5">
        <f>'PL by Month'!F39</f>
        <v>-123709</v>
      </c>
      <c r="G48" s="5">
        <f>'PL by Month'!G39</f>
        <v>-186584</v>
      </c>
      <c r="H48" s="5">
        <f>'PL by Month'!H39</f>
        <v>-44599</v>
      </c>
      <c r="I48" s="5">
        <f>'PL by Month'!I39</f>
        <v>-87585</v>
      </c>
      <c r="J48" s="5">
        <f>'PL by Month'!J39</f>
        <v>7395</v>
      </c>
      <c r="K48" s="5">
        <f>'PL by Month'!K39</f>
        <v>41234</v>
      </c>
      <c r="L48" s="5">
        <f>'PL by Month'!L39</f>
        <v>-61059</v>
      </c>
      <c r="M48" s="5">
        <f>'PL by Month'!M39</f>
        <v>66424</v>
      </c>
      <c r="N48" s="5">
        <f>'PL by Month'!N39</f>
        <v>2140</v>
      </c>
      <c r="O48" s="5">
        <f>'PL by Month'!O39</f>
        <v>-41691</v>
      </c>
      <c r="P48" s="5">
        <f>'PL by Month'!P39</f>
        <v>-56493</v>
      </c>
      <c r="Q48" s="5">
        <f>'PL by Month'!Q39</f>
        <v>-90697</v>
      </c>
      <c r="R48" s="5">
        <f>'PL by Month'!R39</f>
        <v>-40890</v>
      </c>
      <c r="S48" s="5">
        <f>'PL by Month'!S39</f>
        <v>42958</v>
      </c>
      <c r="T48" s="5">
        <f>'PL by Month'!T39</f>
        <v>54853</v>
      </c>
      <c r="U48" s="5">
        <f>'PL by Month'!U39</f>
        <v>53789</v>
      </c>
      <c r="V48" s="5">
        <f>'PL by Month'!V39</f>
        <v>31771</v>
      </c>
      <c r="W48" s="5">
        <f>'PL by Month'!W39</f>
        <v>97643</v>
      </c>
      <c r="X48" s="5">
        <f>'PL by Month'!X39</f>
        <v>118555</v>
      </c>
      <c r="Y48" s="5">
        <f>'PL by Month'!Y39</f>
        <v>96164</v>
      </c>
      <c r="Z48" s="5">
        <f>'PL by Month'!Z39</f>
        <v>165006</v>
      </c>
      <c r="AA48" s="5">
        <f>'PL by Month'!AA39</f>
        <v>142058</v>
      </c>
      <c r="AB48" s="26">
        <f>'PL by Month'!AB39</f>
        <v>-111843</v>
      </c>
      <c r="AC48" s="5">
        <f>'PL by Month'!AC39</f>
        <v>-88697</v>
      </c>
      <c r="AD48" s="5">
        <f>'PL by Month'!AD39</f>
        <v>-45954</v>
      </c>
      <c r="AE48" s="5">
        <f>'PL by Month'!AE39</f>
        <v>60842</v>
      </c>
      <c r="AF48" s="5">
        <f>'PL by Month'!AF39</f>
        <v>87796</v>
      </c>
      <c r="AG48" s="5">
        <f>'PL by Month'!AG39</f>
        <v>108778</v>
      </c>
      <c r="AH48" s="5">
        <f>'PL by Month'!AH39</f>
        <v>81743</v>
      </c>
      <c r="AI48" s="5">
        <f>'PL by Month'!AI39</f>
        <v>220766</v>
      </c>
      <c r="AJ48" s="5">
        <f>'PL by Month'!AJ39</f>
        <v>251842</v>
      </c>
      <c r="AK48" s="5">
        <f>'PL by Month'!AK39</f>
        <v>232976</v>
      </c>
      <c r="AL48" s="5">
        <f>'PL by Month'!AL39</f>
        <v>49192</v>
      </c>
      <c r="AM48" s="5">
        <f>'PL by Month'!AM39</f>
        <v>7443</v>
      </c>
      <c r="AN48" s="5">
        <f>'PL by Month'!AN39</f>
        <v>-86248</v>
      </c>
      <c r="AO48" s="5">
        <f>'PL by Month'!AO39</f>
        <v>-3009</v>
      </c>
      <c r="AP48" s="5">
        <f>'PL by Month'!AP39</f>
        <v>-12700</v>
      </c>
      <c r="AQ48" s="5">
        <f>'PL by Month'!AQ39</f>
        <v>56673</v>
      </c>
      <c r="AR48" s="5">
        <f>'PL by Month'!AR39</f>
        <v>91110</v>
      </c>
      <c r="AS48" s="5">
        <f>'PL by Month'!AS39</f>
        <v>227612</v>
      </c>
      <c r="AT48" s="5">
        <f>'PL by Month'!AT39</f>
        <v>225178</v>
      </c>
      <c r="AU48" s="5">
        <f>'PL by Month'!AU39</f>
        <v>293808</v>
      </c>
      <c r="AV48" s="5">
        <f>'PL by Month'!AV39</f>
        <v>314298</v>
      </c>
      <c r="AW48" s="5">
        <f>'PL by Month'!AW39</f>
        <v>328712</v>
      </c>
      <c r="AX48" s="5">
        <f>'PL by Month'!AX39</f>
        <v>30240.124522536298</v>
      </c>
      <c r="AY48" s="5">
        <f>'PL by Month'!AY39</f>
        <v>16607.29474269048</v>
      </c>
      <c r="AZ48" s="5">
        <f>'PL by Month'!AZ39</f>
        <v>-6091.931327301751</v>
      </c>
      <c r="BA48" s="5">
        <f>'PL by Month'!BA39</f>
        <v>44426.727322087914</v>
      </c>
      <c r="BB48" s="5">
        <f>'PL by Month'!BB39</f>
        <v>89891.09214357639</v>
      </c>
      <c r="BC48" s="5">
        <f>'PL by Month'!BC39</f>
        <v>157741.31060429878</v>
      </c>
      <c r="BD48" s="5">
        <f>'PL by Month'!BD39</f>
        <v>203458.55962027397</v>
      </c>
      <c r="BE48" s="5">
        <f>'PL by Month'!BE39</f>
        <v>310647.794604852</v>
      </c>
      <c r="BF48" s="5">
        <f>'PL by Month'!BF39</f>
        <v>339338.62619994546</v>
      </c>
      <c r="BG48" s="5">
        <f>'PL by Month'!BG39</f>
        <v>385581.5043647991</v>
      </c>
      <c r="BH48" s="5">
        <f>'PL by Month'!BH39</f>
        <v>403908.66251560976</v>
      </c>
      <c r="BI48" s="5">
        <f>'PL by Month'!BI39</f>
        <v>401016.4133478157</v>
      </c>
    </row>
    <row r="49" spans="1:28" s="9" customFormat="1" ht="12.75">
      <c r="A49" s="21"/>
      <c r="AB49" s="27"/>
    </row>
    <row r="50" spans="1:61" ht="12.75">
      <c r="A50" s="20" t="s">
        <v>59</v>
      </c>
      <c r="B50" s="5">
        <f aca="true" t="shared" si="24" ref="B50:AG50">SUM(B45:B48)</f>
        <v>60614</v>
      </c>
      <c r="C50" s="5">
        <f t="shared" si="24"/>
        <v>46651</v>
      </c>
      <c r="D50" s="5">
        <f t="shared" si="24"/>
        <v>-56294</v>
      </c>
      <c r="E50" s="5">
        <f t="shared" si="24"/>
        <v>-108216</v>
      </c>
      <c r="F50" s="5">
        <f t="shared" si="24"/>
        <v>-97109</v>
      </c>
      <c r="G50" s="5">
        <f t="shared" si="24"/>
        <v>-162984</v>
      </c>
      <c r="H50" s="5">
        <f t="shared" si="24"/>
        <v>-24999</v>
      </c>
      <c r="I50" s="5">
        <f t="shared" si="24"/>
        <v>-71985</v>
      </c>
      <c r="J50" s="5">
        <f t="shared" si="24"/>
        <v>19995</v>
      </c>
      <c r="K50" s="5">
        <f t="shared" si="24"/>
        <v>49834</v>
      </c>
      <c r="L50" s="5">
        <f t="shared" si="24"/>
        <v>-56459</v>
      </c>
      <c r="M50" s="5">
        <f t="shared" si="24"/>
        <v>69024</v>
      </c>
      <c r="N50" s="5">
        <f t="shared" si="24"/>
        <v>62164</v>
      </c>
      <c r="O50" s="5">
        <f t="shared" si="24"/>
        <v>8333</v>
      </c>
      <c r="P50" s="5">
        <f t="shared" si="24"/>
        <v>-16469</v>
      </c>
      <c r="Q50" s="5">
        <f t="shared" si="24"/>
        <v>-60673</v>
      </c>
      <c r="R50" s="5">
        <f t="shared" si="24"/>
        <v>-20866</v>
      </c>
      <c r="S50" s="5">
        <f t="shared" si="24"/>
        <v>52982</v>
      </c>
      <c r="T50" s="5">
        <f t="shared" si="24"/>
        <v>54877</v>
      </c>
      <c r="U50" s="5">
        <f t="shared" si="24"/>
        <v>43813</v>
      </c>
      <c r="V50" s="5">
        <f t="shared" si="24"/>
        <v>11795</v>
      </c>
      <c r="W50" s="5">
        <f t="shared" si="24"/>
        <v>67667</v>
      </c>
      <c r="X50" s="5">
        <f t="shared" si="24"/>
        <v>78579</v>
      </c>
      <c r="Y50" s="5">
        <f t="shared" si="24"/>
        <v>46188</v>
      </c>
      <c r="Z50" s="5">
        <f t="shared" si="24"/>
        <v>210194</v>
      </c>
      <c r="AA50" s="5">
        <f t="shared" si="24"/>
        <v>183246</v>
      </c>
      <c r="AB50" s="26">
        <f t="shared" si="24"/>
        <v>-72655</v>
      </c>
      <c r="AC50" s="5">
        <f t="shared" si="24"/>
        <v>-59509</v>
      </c>
      <c r="AD50" s="5">
        <f t="shared" si="24"/>
        <v>-22766</v>
      </c>
      <c r="AE50" s="5">
        <f t="shared" si="24"/>
        <v>84030</v>
      </c>
      <c r="AF50" s="5">
        <f t="shared" si="24"/>
        <v>99984</v>
      </c>
      <c r="AG50" s="5">
        <f t="shared" si="24"/>
        <v>105966</v>
      </c>
      <c r="AH50" s="5">
        <f aca="true" t="shared" si="25" ref="AH50:BI50">SUM(AH45:AH48)</f>
        <v>77931</v>
      </c>
      <c r="AI50" s="5">
        <f t="shared" si="25"/>
        <v>206954</v>
      </c>
      <c r="AJ50" s="5">
        <f t="shared" si="25"/>
        <v>238030</v>
      </c>
      <c r="AK50" s="5">
        <f t="shared" si="25"/>
        <v>213164</v>
      </c>
      <c r="AL50" s="5">
        <f t="shared" si="25"/>
        <v>232356</v>
      </c>
      <c r="AM50" s="5">
        <f t="shared" si="25"/>
        <v>190607</v>
      </c>
      <c r="AN50" s="5">
        <f t="shared" si="25"/>
        <v>96916</v>
      </c>
      <c r="AO50" s="5">
        <f t="shared" si="25"/>
        <v>180155</v>
      </c>
      <c r="AP50" s="5">
        <f t="shared" si="25"/>
        <v>170464</v>
      </c>
      <c r="AQ50" s="5">
        <f t="shared" si="25"/>
        <v>224837</v>
      </c>
      <c r="AR50" s="5">
        <f t="shared" si="25"/>
        <v>259274</v>
      </c>
      <c r="AS50" s="5">
        <f t="shared" si="25"/>
        <v>395776</v>
      </c>
      <c r="AT50" s="5">
        <f t="shared" si="25"/>
        <v>348342</v>
      </c>
      <c r="AU50" s="5">
        <f t="shared" si="25"/>
        <v>416972</v>
      </c>
      <c r="AV50" s="5">
        <f t="shared" si="25"/>
        <v>437462</v>
      </c>
      <c r="AW50" s="5">
        <f t="shared" si="25"/>
        <v>341876</v>
      </c>
      <c r="AX50" s="5">
        <f t="shared" si="25"/>
        <v>372116.1245225363</v>
      </c>
      <c r="AY50" s="5">
        <f t="shared" si="25"/>
        <v>358483.29474269046</v>
      </c>
      <c r="AZ50" s="5">
        <f t="shared" si="25"/>
        <v>335784.0686726982</v>
      </c>
      <c r="BA50" s="5">
        <f t="shared" si="25"/>
        <v>386302.7273220879</v>
      </c>
      <c r="BB50" s="5">
        <f t="shared" si="25"/>
        <v>431767.09214357636</v>
      </c>
      <c r="BC50" s="5">
        <f t="shared" si="25"/>
        <v>499617.3106042988</v>
      </c>
      <c r="BD50" s="5">
        <f t="shared" si="25"/>
        <v>545334.559620274</v>
      </c>
      <c r="BE50" s="5">
        <f t="shared" si="25"/>
        <v>652523.794604852</v>
      </c>
      <c r="BF50" s="5">
        <f t="shared" si="25"/>
        <v>681214.6261999455</v>
      </c>
      <c r="BG50" s="5">
        <f t="shared" si="25"/>
        <v>727457.5043647991</v>
      </c>
      <c r="BH50" s="5">
        <f t="shared" si="25"/>
        <v>745784.6625156098</v>
      </c>
      <c r="BI50" s="5">
        <f t="shared" si="25"/>
        <v>742892.4133478156</v>
      </c>
    </row>
    <row r="51" ht="12.75">
      <c r="A51" s="21"/>
    </row>
    <row r="52" spans="1:61" ht="13.5" thickBot="1">
      <c r="A52" s="20" t="s">
        <v>60</v>
      </c>
      <c r="B52" s="37">
        <f aca="true" t="shared" si="26" ref="B52:AG52">B42+B50</f>
        <v>321614</v>
      </c>
      <c r="C52" s="37">
        <f t="shared" si="26"/>
        <v>351651</v>
      </c>
      <c r="D52" s="37">
        <f t="shared" si="26"/>
        <v>285706</v>
      </c>
      <c r="E52" s="37">
        <f t="shared" si="26"/>
        <v>260784</v>
      </c>
      <c r="F52" s="37">
        <f t="shared" si="26"/>
        <v>292891</v>
      </c>
      <c r="G52" s="37">
        <f t="shared" si="26"/>
        <v>219016</v>
      </c>
      <c r="H52" s="37">
        <f t="shared" si="26"/>
        <v>427001</v>
      </c>
      <c r="I52" s="37">
        <f t="shared" si="26"/>
        <v>351015</v>
      </c>
      <c r="J52" s="37">
        <f t="shared" si="26"/>
        <v>464995</v>
      </c>
      <c r="K52" s="37">
        <f t="shared" si="26"/>
        <v>390834</v>
      </c>
      <c r="L52" s="37">
        <f t="shared" si="26"/>
        <v>316541</v>
      </c>
      <c r="M52" s="37">
        <f t="shared" si="26"/>
        <v>481024</v>
      </c>
      <c r="N52" s="37">
        <f t="shared" si="26"/>
        <v>467164</v>
      </c>
      <c r="O52" s="37">
        <f t="shared" si="26"/>
        <v>403333</v>
      </c>
      <c r="P52" s="37">
        <f t="shared" si="26"/>
        <v>376531</v>
      </c>
      <c r="Q52" s="37">
        <f t="shared" si="26"/>
        <v>404327</v>
      </c>
      <c r="R52" s="37">
        <f t="shared" si="26"/>
        <v>493134</v>
      </c>
      <c r="S52" s="37">
        <f t="shared" si="26"/>
        <v>557982</v>
      </c>
      <c r="T52" s="37">
        <f t="shared" si="26"/>
        <v>456877</v>
      </c>
      <c r="U52" s="37">
        <f t="shared" si="26"/>
        <v>423813</v>
      </c>
      <c r="V52" s="37">
        <f t="shared" si="26"/>
        <v>374795</v>
      </c>
      <c r="W52" s="37">
        <f t="shared" si="26"/>
        <v>407667</v>
      </c>
      <c r="X52" s="37">
        <f t="shared" si="26"/>
        <v>363579</v>
      </c>
      <c r="Y52" s="37">
        <f t="shared" si="26"/>
        <v>509188</v>
      </c>
      <c r="Z52" s="37">
        <f t="shared" si="26"/>
        <v>782194</v>
      </c>
      <c r="AA52" s="37">
        <f t="shared" si="26"/>
        <v>640246</v>
      </c>
      <c r="AB52" s="38">
        <f t="shared" si="26"/>
        <v>568345</v>
      </c>
      <c r="AC52" s="37">
        <f t="shared" si="26"/>
        <v>589491</v>
      </c>
      <c r="AD52" s="37">
        <f t="shared" si="26"/>
        <v>714234</v>
      </c>
      <c r="AE52" s="37">
        <f t="shared" si="26"/>
        <v>792030</v>
      </c>
      <c r="AF52" s="37">
        <f t="shared" si="26"/>
        <v>783984</v>
      </c>
      <c r="AG52" s="37">
        <f t="shared" si="26"/>
        <v>765966</v>
      </c>
      <c r="AH52" s="37">
        <f aca="true" t="shared" si="27" ref="AH52:BI52">AH42+AH50</f>
        <v>648931</v>
      </c>
      <c r="AI52" s="37">
        <f t="shared" si="27"/>
        <v>714954</v>
      </c>
      <c r="AJ52" s="37">
        <f t="shared" si="27"/>
        <v>751030</v>
      </c>
      <c r="AK52" s="37">
        <f t="shared" si="27"/>
        <v>589164</v>
      </c>
      <c r="AL52" s="37">
        <f t="shared" si="27"/>
        <v>680356</v>
      </c>
      <c r="AM52" s="37">
        <f t="shared" si="27"/>
        <v>705607</v>
      </c>
      <c r="AN52" s="37">
        <f t="shared" si="27"/>
        <v>641916</v>
      </c>
      <c r="AO52" s="37">
        <f t="shared" si="27"/>
        <v>738155</v>
      </c>
      <c r="AP52" s="37">
        <f t="shared" si="27"/>
        <v>771464</v>
      </c>
      <c r="AQ52" s="37">
        <f t="shared" si="27"/>
        <v>767837</v>
      </c>
      <c r="AR52" s="37">
        <f t="shared" si="27"/>
        <v>788274</v>
      </c>
      <c r="AS52" s="37">
        <f t="shared" si="27"/>
        <v>918776</v>
      </c>
      <c r="AT52" s="37">
        <f t="shared" si="27"/>
        <v>786342</v>
      </c>
      <c r="AU52" s="37">
        <f t="shared" si="27"/>
        <v>801972</v>
      </c>
      <c r="AV52" s="37">
        <f t="shared" si="27"/>
        <v>772462</v>
      </c>
      <c r="AW52" s="37">
        <f t="shared" si="27"/>
        <v>623876</v>
      </c>
      <c r="AX52" s="37">
        <f t="shared" si="27"/>
        <v>712546.1245225363</v>
      </c>
      <c r="AY52" s="37">
        <f t="shared" si="27"/>
        <v>649357.2947426904</v>
      </c>
      <c r="AZ52" s="37">
        <f t="shared" si="27"/>
        <v>610861.0686726982</v>
      </c>
      <c r="BA52" s="37">
        <f t="shared" si="27"/>
        <v>713782.7273220879</v>
      </c>
      <c r="BB52" s="37">
        <f t="shared" si="27"/>
        <v>745155.0921435764</v>
      </c>
      <c r="BC52" s="37">
        <f t="shared" si="27"/>
        <v>821419.3106042987</v>
      </c>
      <c r="BD52" s="37">
        <f t="shared" si="27"/>
        <v>838040.559620274</v>
      </c>
      <c r="BE52" s="37">
        <f t="shared" si="27"/>
        <v>984674.7946048521</v>
      </c>
      <c r="BF52" s="37">
        <f t="shared" si="27"/>
        <v>937211.6261999455</v>
      </c>
      <c r="BG52" s="37">
        <f t="shared" si="27"/>
        <v>987435.5043647991</v>
      </c>
      <c r="BH52" s="37">
        <f t="shared" si="27"/>
        <v>973938.6625156098</v>
      </c>
      <c r="BI52" s="37">
        <f t="shared" si="27"/>
        <v>897381.7133478157</v>
      </c>
    </row>
    <row r="53" spans="1:61" ht="13.5" thickTop="1">
      <c r="A53" s="59"/>
      <c r="B53" s="5">
        <f aca="true" t="shared" si="28" ref="B53:AG53">B25-B52</f>
        <v>0</v>
      </c>
      <c r="C53" s="5">
        <f t="shared" si="28"/>
        <v>0</v>
      </c>
      <c r="D53" s="5">
        <f t="shared" si="28"/>
        <v>0</v>
      </c>
      <c r="E53" s="5">
        <f t="shared" si="28"/>
        <v>0</v>
      </c>
      <c r="F53" s="5">
        <f t="shared" si="28"/>
        <v>0</v>
      </c>
      <c r="G53" s="5">
        <f t="shared" si="28"/>
        <v>0</v>
      </c>
      <c r="H53" s="5">
        <f t="shared" si="28"/>
        <v>0</v>
      </c>
      <c r="I53" s="5">
        <f t="shared" si="28"/>
        <v>0</v>
      </c>
      <c r="J53" s="5">
        <f t="shared" si="28"/>
        <v>0</v>
      </c>
      <c r="K53" s="5">
        <f t="shared" si="28"/>
        <v>0</v>
      </c>
      <c r="L53" s="5">
        <f t="shared" si="28"/>
        <v>0</v>
      </c>
      <c r="M53" s="5">
        <f t="shared" si="28"/>
        <v>0</v>
      </c>
      <c r="N53" s="5">
        <f t="shared" si="28"/>
        <v>0</v>
      </c>
      <c r="O53" s="5">
        <f t="shared" si="28"/>
        <v>0</v>
      </c>
      <c r="P53" s="5">
        <f t="shared" si="28"/>
        <v>0</v>
      </c>
      <c r="Q53" s="5">
        <f t="shared" si="28"/>
        <v>0</v>
      </c>
      <c r="R53" s="5">
        <f t="shared" si="28"/>
        <v>0</v>
      </c>
      <c r="S53" s="5">
        <f t="shared" si="28"/>
        <v>0</v>
      </c>
      <c r="T53" s="5">
        <f t="shared" si="28"/>
        <v>0</v>
      </c>
      <c r="U53" s="5">
        <f t="shared" si="28"/>
        <v>0</v>
      </c>
      <c r="V53" s="5">
        <f t="shared" si="28"/>
        <v>0</v>
      </c>
      <c r="W53" s="5">
        <f t="shared" si="28"/>
        <v>0</v>
      </c>
      <c r="X53" s="5">
        <f t="shared" si="28"/>
        <v>0</v>
      </c>
      <c r="Y53" s="5">
        <f t="shared" si="28"/>
        <v>0</v>
      </c>
      <c r="Z53" s="5">
        <f t="shared" si="28"/>
        <v>0</v>
      </c>
      <c r="AA53" s="5">
        <f t="shared" si="28"/>
        <v>0</v>
      </c>
      <c r="AB53" s="26">
        <f t="shared" si="28"/>
        <v>0</v>
      </c>
      <c r="AC53" s="5">
        <f t="shared" si="28"/>
        <v>0</v>
      </c>
      <c r="AD53" s="5">
        <f t="shared" si="28"/>
        <v>0</v>
      </c>
      <c r="AE53" s="5">
        <f t="shared" si="28"/>
        <v>0</v>
      </c>
      <c r="AF53" s="5">
        <f t="shared" si="28"/>
        <v>0</v>
      </c>
      <c r="AG53" s="5">
        <f t="shared" si="28"/>
        <v>0</v>
      </c>
      <c r="AH53" s="5">
        <f aca="true" t="shared" si="29" ref="AH53:BM53">AH25-AH52</f>
        <v>0</v>
      </c>
      <c r="AI53" s="5">
        <f t="shared" si="29"/>
        <v>0</v>
      </c>
      <c r="AJ53" s="5">
        <f t="shared" si="29"/>
        <v>0</v>
      </c>
      <c r="AK53" s="5">
        <f t="shared" si="29"/>
        <v>0</v>
      </c>
      <c r="AL53" s="5">
        <f t="shared" si="29"/>
        <v>0</v>
      </c>
      <c r="AM53" s="5">
        <f t="shared" si="29"/>
        <v>0</v>
      </c>
      <c r="AN53" s="5">
        <f t="shared" si="29"/>
        <v>0</v>
      </c>
      <c r="AO53" s="5">
        <f t="shared" si="29"/>
        <v>0</v>
      </c>
      <c r="AP53" s="5">
        <f t="shared" si="29"/>
        <v>0</v>
      </c>
      <c r="AQ53" s="5">
        <f t="shared" si="29"/>
        <v>0</v>
      </c>
      <c r="AR53" s="5">
        <f t="shared" si="29"/>
        <v>0</v>
      </c>
      <c r="AS53" s="5">
        <f t="shared" si="29"/>
        <v>0</v>
      </c>
      <c r="AT53" s="5">
        <f t="shared" si="29"/>
        <v>0</v>
      </c>
      <c r="AU53" s="5">
        <f t="shared" si="29"/>
        <v>0</v>
      </c>
      <c r="AV53" s="5">
        <f t="shared" si="29"/>
        <v>0</v>
      </c>
      <c r="AW53" s="5">
        <f t="shared" si="29"/>
        <v>0</v>
      </c>
      <c r="AX53" s="5">
        <f t="shared" si="29"/>
        <v>0</v>
      </c>
      <c r="AY53" s="5">
        <f t="shared" si="29"/>
        <v>0</v>
      </c>
      <c r="AZ53" s="5">
        <f t="shared" si="29"/>
        <v>0</v>
      </c>
      <c r="BA53" s="5">
        <f t="shared" si="29"/>
        <v>0</v>
      </c>
      <c r="BB53" s="5">
        <f t="shared" si="29"/>
        <v>0</v>
      </c>
      <c r="BC53" s="5">
        <f t="shared" si="29"/>
        <v>0</v>
      </c>
      <c r="BD53" s="5">
        <f t="shared" si="29"/>
        <v>0</v>
      </c>
      <c r="BE53" s="5">
        <f t="shared" si="29"/>
        <v>0</v>
      </c>
      <c r="BF53" s="5">
        <f t="shared" si="29"/>
        <v>0</v>
      </c>
      <c r="BG53" s="5">
        <f t="shared" si="29"/>
        <v>0</v>
      </c>
      <c r="BH53" s="5">
        <f t="shared" si="29"/>
        <v>0</v>
      </c>
      <c r="BI53" s="5">
        <f t="shared" si="29"/>
        <v>0</v>
      </c>
    </row>
    <row r="54" ht="12.75">
      <c r="A54" s="25"/>
    </row>
    <row r="55" spans="1:61" ht="12.75">
      <c r="A55" s="14" t="s">
        <v>61</v>
      </c>
      <c r="B55" s="5">
        <v>0</v>
      </c>
      <c r="C55" s="5">
        <f>C9/(('PL by Month'!B7+'PL by Month'!C7)/60)</f>
        <v>32.608695652173914</v>
      </c>
      <c r="D55" s="5">
        <f>D9/(('PL by Month'!C7+'PL by Month'!D7)/60)</f>
        <v>21.195652173913043</v>
      </c>
      <c r="E55" s="5">
        <f>E9/(('PL by Month'!D7+'PL by Month'!E7)/60)</f>
        <v>33.333333333333336</v>
      </c>
      <c r="F55" s="5">
        <f>F9/(('PL by Month'!E7+'PL by Month'!F7)/60)</f>
        <v>27.142857142857142</v>
      </c>
      <c r="G55" s="5">
        <f>G9/(('PL by Month'!F7+'PL by Month'!G7)/60)</f>
        <v>16.3265306122449</v>
      </c>
      <c r="H55" s="5">
        <f>H9/(('PL by Month'!G7+'PL by Month'!H7)/60)</f>
        <v>25.85278276481149</v>
      </c>
      <c r="I55" s="5">
        <f>I9/(('PL by Month'!H7+'PL by Month'!I7)/60)</f>
        <v>21.314387211367674</v>
      </c>
      <c r="J55" s="5">
        <f>J9/(('PL by Month'!I7+'PL by Month'!J7)/60)</f>
        <v>31.730769230769234</v>
      </c>
      <c r="K55" s="5">
        <f>K9/(('PL by Month'!J7+'PL by Month'!K7)/60)</f>
        <v>21.67487684729064</v>
      </c>
      <c r="L55" s="5">
        <f>L9/(('PL by Month'!K7+'PL by Month'!L7)/60)</f>
        <v>19.64735516372796</v>
      </c>
      <c r="M55" s="5">
        <f>M9/(('PL by Month'!L7+'PL by Month'!M7)/60)</f>
        <v>39.60880195599022</v>
      </c>
      <c r="N55" s="5">
        <f>N9/(('PL by Month'!M7+'PL by Month'!N7)/60)</f>
        <v>29.282868525896415</v>
      </c>
      <c r="O55" s="5">
        <f>O9/(('PL by Month'!N7+'PL by Month'!O7)/60)</f>
        <v>25.846153846153843</v>
      </c>
      <c r="P55" s="5">
        <f>P9/(('PL by Month'!O7+'PL by Month'!P7)/60)</f>
        <v>24.59016393442623</v>
      </c>
      <c r="Q55" s="5">
        <f>Q9/(('PL by Month'!P7+'PL by Month'!Q7)/60)</f>
        <v>24.277456647398843</v>
      </c>
      <c r="R55" s="5">
        <f>R9/(('PL by Month'!Q7+'PL by Month'!R7)/60)</f>
        <v>24.513618677042803</v>
      </c>
      <c r="S55" s="5">
        <f>S9/(('PL by Month'!R7+'PL by Month'!S7)/60)</f>
        <v>27.391304347826086</v>
      </c>
      <c r="T55" s="5">
        <f>T9/(('PL by Month'!S7+'PL by Month'!T7)/60)</f>
        <v>19.004524886877828</v>
      </c>
      <c r="U55" s="5">
        <f>U9/(('PL by Month'!T7+'PL by Month'!U7)/60)</f>
        <v>27.016885553470917</v>
      </c>
      <c r="V55" s="5">
        <f>V9/(('PL by Month'!U7+'PL by Month'!V7)/60)</f>
        <v>25.95573440643863</v>
      </c>
      <c r="W55" s="5">
        <f>W9/(('PL by Month'!V7+'PL by Month'!W7)/60)</f>
        <v>26.436781609195403</v>
      </c>
      <c r="X55" s="5">
        <f>X9/(('PL by Month'!W7+'PL by Month'!X7)/60)</f>
        <v>22.22222222222222</v>
      </c>
      <c r="Y55" s="5">
        <f>Y9/(('PL by Month'!X7+'PL by Month'!Y7)/60)</f>
        <v>43.766578249336874</v>
      </c>
      <c r="Z55" s="5">
        <f>Z9/(('PL by Month'!Y7+'PL by Month'!Z7)/60)</f>
        <v>35.2</v>
      </c>
      <c r="AA55" s="5">
        <f>AA9/(('PL by Month'!Z7+'PL by Month'!AA7)/60)</f>
        <v>19.40928270042194</v>
      </c>
      <c r="AB55" s="5">
        <f>AB9/(('PL by Month'!AA7+'PL by Month'!AB7)/60)</f>
        <v>27.397260273972602</v>
      </c>
      <c r="AC55" s="5">
        <f>AC9/(('PL by Month'!AB7+'PL by Month'!AC7)/60)</f>
        <v>40.106951871657756</v>
      </c>
      <c r="AD55" s="5">
        <f>AD9/(('PL by Month'!AC7+'PL by Month'!AD7)/60)</f>
        <v>27.95031055900621</v>
      </c>
      <c r="AE55" s="5">
        <f>AE9/(('PL by Month'!AD7+'PL by Month'!AE7)/60)</f>
        <v>27.35042735042735</v>
      </c>
      <c r="AF55" s="5">
        <f>AF9/(('PL by Month'!AE7+'PL by Month'!AF7)/60)</f>
        <v>28.421052631578945</v>
      </c>
      <c r="AG55" s="5">
        <f>AG9/(('PL by Month'!AF7+'PL by Month'!AG7)/60)</f>
        <v>32.432432432432435</v>
      </c>
      <c r="AH55" s="5">
        <f>AH9/(('PL by Month'!AG7+'PL by Month'!AH7)/60)</f>
        <v>22.340425531914896</v>
      </c>
      <c r="AI55" s="5">
        <f>AI9/(('PL by Month'!AH7+'PL by Month'!AI7)/60)</f>
        <v>32.16374269005848</v>
      </c>
      <c r="AJ55" s="5">
        <f>AJ9/(('PL by Month'!AI7+'PL by Month'!AJ7)/60)</f>
        <v>26.690391459074736</v>
      </c>
      <c r="AK55" s="5">
        <f>AK9/(('PL by Month'!AJ7+'PL by Month'!AK7)/60)</f>
        <v>32.62839879154078</v>
      </c>
      <c r="AL55" s="5">
        <f>AL9/(('PL by Month'!AK7+'PL by Month'!AL7)/60)</f>
        <v>40.2332361516035</v>
      </c>
      <c r="AM55" s="5">
        <f>AM9/(('PL by Month'!AL7+'PL by Month'!AM7)/60)</f>
        <v>18.313953488372093</v>
      </c>
      <c r="AN55" s="5">
        <f>AN9/(('PL by Month'!AM7+'PL by Month'!AN7)/60)</f>
        <v>28.436018957345972</v>
      </c>
      <c r="AO55" s="5">
        <f>AO9/(('PL by Month'!AN7+'PL by Month'!AO7)/60)</f>
        <v>35.0132625994695</v>
      </c>
      <c r="AP55" s="5">
        <f>AP9/(('PL by Month'!AO7+'PL by Month'!AP7)/60)</f>
        <v>29.562043795620436</v>
      </c>
      <c r="AQ55" s="5">
        <f>AQ9/(('PL by Month'!AP7+'PL by Month'!AQ7)/60)</f>
        <v>23.389830508474574</v>
      </c>
      <c r="AR55" s="5">
        <f>AR9/(('PL by Month'!AQ7+'PL by Month'!AR7)/60)</f>
        <v>21.428571428571427</v>
      </c>
      <c r="AS55" s="5">
        <f>AS9/(('PL by Month'!AR7+'PL by Month'!AS7)/60)</f>
        <v>28.360413589364843</v>
      </c>
      <c r="AT55" s="5">
        <f>AT9/(('PL by Month'!AS7+'PL by Month'!AT7)/60)</f>
        <v>23.88535031847134</v>
      </c>
      <c r="AU55" s="5">
        <f>AU9/(('PL by Month'!AT7+'PL by Month'!AU7)/60)</f>
        <v>29.052631578947366</v>
      </c>
      <c r="AV55" s="5">
        <f>AV9/(('PL by Month'!AU7+'PL by Month'!AV7)/60)</f>
        <v>22.56637168141593</v>
      </c>
      <c r="AW55" s="5">
        <f>AW9/(('PL by Month'!AV7+'PL by Month'!AW7)/60)</f>
        <v>20.294117647058822</v>
      </c>
      <c r="AX55" s="91">
        <v>30</v>
      </c>
      <c r="AY55" s="91">
        <v>30</v>
      </c>
      <c r="AZ55" s="91">
        <v>30</v>
      </c>
      <c r="BA55" s="91">
        <v>30</v>
      </c>
      <c r="BB55" s="91">
        <v>30</v>
      </c>
      <c r="BC55" s="91">
        <v>30</v>
      </c>
      <c r="BD55" s="91">
        <v>30</v>
      </c>
      <c r="BE55" s="91">
        <v>30</v>
      </c>
      <c r="BF55" s="91">
        <v>30</v>
      </c>
      <c r="BG55" s="91">
        <v>30</v>
      </c>
      <c r="BH55" s="91">
        <v>30</v>
      </c>
      <c r="BI55" s="91">
        <v>30</v>
      </c>
    </row>
    <row r="56" spans="1:61" ht="12.75">
      <c r="A56" s="14" t="s">
        <v>62</v>
      </c>
      <c r="B56" s="4">
        <f>B30/('PL by Month'!B9+'PL by Month'!C9)</f>
        <v>0.8823529411764706</v>
      </c>
      <c r="C56" s="4">
        <f>C30/('PL by Month'!C9+'PL by Month'!D9)</f>
        <v>0.5757575757575758</v>
      </c>
      <c r="D56" s="4">
        <f>D30/('PL by Month'!D9+'PL by Month'!E9)</f>
        <v>0.6159420289855072</v>
      </c>
      <c r="E56" s="4">
        <f>E30/('PL by Month'!E9+'PL by Month'!F9)</f>
        <v>0.7012195121951219</v>
      </c>
      <c r="F56" s="4">
        <f>F30/('PL by Month'!F9+'PL by Month'!G9)</f>
        <v>0.7009345794392523</v>
      </c>
      <c r="G56" s="4">
        <f>G30/('PL by Month'!G9+'PL by Month'!H9)</f>
        <v>0.751269035532995</v>
      </c>
      <c r="H56" s="4">
        <f>H30/('PL by Month'!H9+'PL by Month'!I9)</f>
        <v>1.1497326203208555</v>
      </c>
      <c r="I56" s="4">
        <f>I30/('PL by Month'!I9+'PL by Month'!J9)</f>
        <v>1.0103626943005182</v>
      </c>
      <c r="J56" s="4">
        <f>J30/('PL by Month'!J9+'PL by Month'!K9)</f>
        <v>1.1022727272727273</v>
      </c>
      <c r="K56" s="4">
        <f>K30/('PL by Month'!K9+'PL by Month'!L9)</f>
        <v>0.7258064516129032</v>
      </c>
      <c r="L56" s="4">
        <f>L30/('PL by Month'!L9+'PL by Month'!M9)</f>
        <v>1.4285714285714286</v>
      </c>
      <c r="M56" s="4">
        <f>M30/('PL by Month'!M9+'PL by Month'!N9)</f>
        <v>1.8181818181818181</v>
      </c>
      <c r="N56" s="4">
        <f>N30/('PL by Month'!N9+'PL by Month'!O9)</f>
        <v>1.3793103448275863</v>
      </c>
      <c r="O56" s="4">
        <f>O30/('PL by Month'!O9+'PL by Month'!P9)</f>
        <v>1.6666666666666667</v>
      </c>
      <c r="P56" s="4">
        <f>P30/('PL by Month'!P9+'PL by Month'!Q9)</f>
        <v>0.5416666666666666</v>
      </c>
      <c r="Q56" s="4">
        <f>Q30/('PL by Month'!Q9+'PL by Month'!R9)</f>
        <v>0.4419889502762431</v>
      </c>
      <c r="R56" s="4">
        <f>R30/('PL by Month'!R9+'PL by Month'!S9)</f>
        <v>0.6796116504854369</v>
      </c>
      <c r="S56" s="4">
        <f>S30/('PL by Month'!S9+'PL by Month'!T9)</f>
        <v>0.7847533632286996</v>
      </c>
      <c r="T56" s="4">
        <f>T30/('PL by Month'!T9+'PL by Month'!U9)</f>
        <v>0.628140703517588</v>
      </c>
      <c r="U56" s="4">
        <f>U30/('PL by Month'!U9+'PL by Month'!V9)</f>
        <v>0.7621951219512195</v>
      </c>
      <c r="V56" s="4">
        <f>V30/('PL by Month'!V9+'PL by Month'!W9)</f>
        <v>0.8536585365853658</v>
      </c>
      <c r="W56" s="4">
        <f>W30/('PL by Month'!W9+'PL by Month'!X9)</f>
        <v>0.8928571428571429</v>
      </c>
      <c r="X56" s="4">
        <f>X30/('PL by Month'!X9+'PL by Month'!Y9)</f>
        <v>0.6818181818181818</v>
      </c>
      <c r="Y56" s="4">
        <f>Y30/('PL by Month'!Y9+'PL by Month'!Z9)</f>
        <v>0.6060606060606061</v>
      </c>
      <c r="Z56" s="4">
        <f>Z30/('PL by Month'!Z9+'PL by Month'!AA9)</f>
        <v>1.8615384615384616</v>
      </c>
      <c r="AA56" s="4">
        <f>AA30/('PL by Month'!AA9+'PL by Month'!AB9)</f>
        <v>0.3515625</v>
      </c>
      <c r="AB56" s="4">
        <f>AB30/('PL by Month'!AB9+'PL by Month'!AC9)</f>
        <v>0.37037037037037035</v>
      </c>
      <c r="AC56" s="4">
        <f>AC30/('PL by Month'!AC9+'PL by Month'!AD9)</f>
        <v>0.6680161943319838</v>
      </c>
      <c r="AD56" s="4">
        <f>AD30/('PL by Month'!AD9+'PL by Month'!AE9)</f>
        <v>0.7991803278688525</v>
      </c>
      <c r="AE56" s="4">
        <f>AE30/('PL by Month'!AE9+'PL by Month'!AF9)</f>
        <v>0.9502262443438914</v>
      </c>
      <c r="AF56" s="4">
        <f>AF30/('PL by Month'!AF9+'PL by Month'!AG9)</f>
        <v>1.1142857142857143</v>
      </c>
      <c r="AG56" s="4">
        <f>AG30/('PL by Month'!AG9+'PL by Month'!AH9)</f>
        <v>1.5151515151515151</v>
      </c>
      <c r="AH56" s="4">
        <f>AH30/('PL by Month'!AH9+'PL by Month'!AI9)</f>
        <v>1.0714285714285714</v>
      </c>
      <c r="AI56" s="4">
        <f>AI30/('PL by Month'!AI9+'PL by Month'!AJ9)</f>
        <v>0.9541984732824428</v>
      </c>
      <c r="AJ56" s="4">
        <f>AJ30/('PL by Month'!AJ9+'PL by Month'!AK9)</f>
        <v>1.7222222222222223</v>
      </c>
      <c r="AK56" s="4">
        <f>AK30/('PL by Month'!AK9+'PL by Month'!AL9)</f>
        <v>0.30864197530864196</v>
      </c>
      <c r="AL56" s="4">
        <f>AL30/('PL by Month'!AL9+'PL by Month'!AM9)</f>
        <v>1.134020618556701</v>
      </c>
      <c r="AM56" s="4">
        <f>AM30/('PL by Month'!AM9+'PL by Month'!AN9)</f>
        <v>0.784</v>
      </c>
      <c r="AN56" s="4">
        <f>AN30/('PL by Month'!AN9+'PL by Month'!AO9)</f>
        <v>0.5828220858895705</v>
      </c>
      <c r="AO56" s="4">
        <f>AO30/('PL by Month'!AO9+'PL by Month'!AP9)</f>
        <v>0.5665024630541872</v>
      </c>
      <c r="AP56" s="4">
        <f>AP30/('PL by Month'!AP9+'PL by Month'!AQ9)</f>
        <v>0.8783783783783784</v>
      </c>
      <c r="AQ56" s="4">
        <f>AQ30/('PL by Month'!AQ9+'PL by Month'!AR9)</f>
        <v>0.9545454545454546</v>
      </c>
      <c r="AR56" s="4">
        <f>AR30/('PL by Month'!AR9+'PL by Month'!AS9)</f>
        <v>1.096774193548387</v>
      </c>
      <c r="AS56" s="4">
        <f>AS30/('PL by Month'!AS9+'PL by Month'!AT9)</f>
        <v>1.4388489208633093</v>
      </c>
      <c r="AT56" s="4">
        <f>AT30/('PL by Month'!AT9+'PL by Month'!AU9)</f>
        <v>1.3043478260869565</v>
      </c>
      <c r="AU56" s="4">
        <f>AU30/('PL by Month'!AU9+'PL by Month'!AV9)</f>
        <v>1.09375</v>
      </c>
      <c r="AV56" s="4">
        <f>AV30/('PL by Month'!AV9+'PL by Month'!AW9)</f>
        <v>0.7142857142857143</v>
      </c>
      <c r="AW56" s="4">
        <f>AW30/('PL by Month'!AW9+'PL by Month'!AX9)</f>
        <v>0.09055510278004163</v>
      </c>
      <c r="AX56" s="95">
        <v>1</v>
      </c>
      <c r="AY56" s="95">
        <v>1</v>
      </c>
      <c r="AZ56" s="95">
        <v>1</v>
      </c>
      <c r="BA56" s="95">
        <v>1</v>
      </c>
      <c r="BB56" s="95">
        <v>1</v>
      </c>
      <c r="BC56" s="95">
        <v>1</v>
      </c>
      <c r="BD56" s="95">
        <v>1</v>
      </c>
      <c r="BE56" s="95">
        <v>1</v>
      </c>
      <c r="BF56" s="95">
        <v>1</v>
      </c>
      <c r="BG56" s="95">
        <v>1</v>
      </c>
      <c r="BH56" s="95">
        <v>1</v>
      </c>
      <c r="BI56" s="95">
        <v>0.05</v>
      </c>
    </row>
    <row r="58" spans="1:61" ht="12.75">
      <c r="A58" s="14" t="s">
        <v>63</v>
      </c>
      <c r="B58" s="5">
        <f aca="true" t="shared" si="30" ref="B58:AG58">B8-B33</f>
        <v>77114</v>
      </c>
      <c r="C58" s="5">
        <f t="shared" si="30"/>
        <v>143651</v>
      </c>
      <c r="D58" s="5">
        <f t="shared" si="30"/>
        <v>134206</v>
      </c>
      <c r="E58" s="5">
        <f t="shared" si="30"/>
        <v>65784</v>
      </c>
      <c r="F58" s="5">
        <f t="shared" si="30"/>
        <v>39391</v>
      </c>
      <c r="G58" s="5">
        <f t="shared" si="30"/>
        <v>47016</v>
      </c>
      <c r="H58" s="5">
        <f t="shared" si="30"/>
        <v>136501</v>
      </c>
      <c r="I58" s="5">
        <f t="shared" si="30"/>
        <v>112015</v>
      </c>
      <c r="J58" s="5">
        <f t="shared" si="30"/>
        <v>162495</v>
      </c>
      <c r="K58" s="5">
        <f t="shared" si="30"/>
        <v>154834</v>
      </c>
      <c r="L58" s="5">
        <f t="shared" si="30"/>
        <v>182041</v>
      </c>
      <c r="M58" s="5">
        <f t="shared" si="30"/>
        <v>28024</v>
      </c>
      <c r="N58" s="5">
        <f t="shared" si="30"/>
        <v>87264</v>
      </c>
      <c r="O58" s="5">
        <f t="shared" si="30"/>
        <v>136533</v>
      </c>
      <c r="P58" s="5">
        <f t="shared" si="30"/>
        <v>157831</v>
      </c>
      <c r="Q58" s="5">
        <f t="shared" si="30"/>
        <v>153727</v>
      </c>
      <c r="R58" s="5">
        <f t="shared" si="30"/>
        <v>180634</v>
      </c>
      <c r="S58" s="5">
        <f t="shared" si="30"/>
        <v>123582</v>
      </c>
      <c r="T58" s="5">
        <f t="shared" si="30"/>
        <v>135577</v>
      </c>
      <c r="U58" s="5">
        <f t="shared" si="30"/>
        <v>80613</v>
      </c>
      <c r="V58" s="5">
        <f t="shared" si="30"/>
        <v>64695</v>
      </c>
      <c r="W58" s="5">
        <f t="shared" si="30"/>
        <v>90667</v>
      </c>
      <c r="X58" s="5">
        <f t="shared" si="30"/>
        <v>74679</v>
      </c>
      <c r="Y58" s="5">
        <f t="shared" si="30"/>
        <v>-31612</v>
      </c>
      <c r="Z58" s="5">
        <f t="shared" si="30"/>
        <v>148494</v>
      </c>
      <c r="AA58" s="5">
        <f t="shared" si="30"/>
        <v>228646</v>
      </c>
      <c r="AB58" s="26">
        <f t="shared" si="30"/>
        <v>298845</v>
      </c>
      <c r="AC58" s="5">
        <f t="shared" si="30"/>
        <v>182091</v>
      </c>
      <c r="AD58" s="5">
        <f t="shared" si="30"/>
        <v>168934</v>
      </c>
      <c r="AE58" s="5">
        <f t="shared" si="30"/>
        <v>238830</v>
      </c>
      <c r="AF58" s="5">
        <f t="shared" si="30"/>
        <v>247884</v>
      </c>
      <c r="AG58" s="5">
        <f t="shared" si="30"/>
        <v>236966</v>
      </c>
      <c r="AH58" s="5">
        <f aca="true" t="shared" si="31" ref="AH58:BI58">AH8-AH33</f>
        <v>247031</v>
      </c>
      <c r="AI58" s="5">
        <f t="shared" si="31"/>
        <v>225154</v>
      </c>
      <c r="AJ58" s="5">
        <f t="shared" si="31"/>
        <v>298330</v>
      </c>
      <c r="AK58" s="5">
        <f t="shared" si="31"/>
        <v>198564</v>
      </c>
      <c r="AL58" s="5">
        <f t="shared" si="31"/>
        <v>241856</v>
      </c>
      <c r="AM58" s="5">
        <f t="shared" si="31"/>
        <v>394207</v>
      </c>
      <c r="AN58" s="5">
        <f t="shared" si="31"/>
        <v>337616</v>
      </c>
      <c r="AO58" s="5">
        <f t="shared" si="31"/>
        <v>285955</v>
      </c>
      <c r="AP58" s="5">
        <f t="shared" si="31"/>
        <v>271364</v>
      </c>
      <c r="AQ58" s="5">
        <f t="shared" si="31"/>
        <v>309837</v>
      </c>
      <c r="AR58" s="5">
        <f t="shared" si="31"/>
        <v>352374</v>
      </c>
      <c r="AS58" s="5">
        <f t="shared" si="31"/>
        <v>374976</v>
      </c>
      <c r="AT58" s="5">
        <f t="shared" si="31"/>
        <v>314642</v>
      </c>
      <c r="AU58" s="5">
        <f t="shared" si="31"/>
        <v>352372</v>
      </c>
      <c r="AV58" s="5">
        <f t="shared" si="31"/>
        <v>354962</v>
      </c>
      <c r="AW58" s="5">
        <f t="shared" si="31"/>
        <v>228476</v>
      </c>
      <c r="AX58" s="5">
        <f t="shared" si="31"/>
        <v>234746.12452253632</v>
      </c>
      <c r="AY58" s="5">
        <f t="shared" si="31"/>
        <v>183957.2947426905</v>
      </c>
      <c r="AZ58" s="5">
        <f t="shared" si="31"/>
        <v>220711.06867269825</v>
      </c>
      <c r="BA58" s="5">
        <f t="shared" si="31"/>
        <v>234432.72732208794</v>
      </c>
      <c r="BB58" s="5">
        <f t="shared" si="31"/>
        <v>173855.09214357642</v>
      </c>
      <c r="BC58" s="5">
        <f t="shared" si="31"/>
        <v>229119.31060429878</v>
      </c>
      <c r="BD58" s="5">
        <f t="shared" si="31"/>
        <v>248940.55962027397</v>
      </c>
      <c r="BE58" s="5">
        <f t="shared" si="31"/>
        <v>348724.794604852</v>
      </c>
      <c r="BF58" s="5">
        <f t="shared" si="31"/>
        <v>330311.62619994546</v>
      </c>
      <c r="BG58" s="5">
        <f t="shared" si="31"/>
        <v>466785.5043647991</v>
      </c>
      <c r="BH58" s="5">
        <f t="shared" si="31"/>
        <v>468038.66251560976</v>
      </c>
      <c r="BI58" s="5">
        <f t="shared" si="31"/>
        <v>455181.7133478157</v>
      </c>
    </row>
    <row r="59" spans="1:61" ht="12.75">
      <c r="A59" s="14" t="s">
        <v>64</v>
      </c>
      <c r="B59" s="5">
        <f>'PL by Month'!B25+'PL by Month'!B9+'PL by Month'!B14</f>
        <v>130500</v>
      </c>
      <c r="C59" s="5">
        <f>'PL by Month'!C25+'PL by Month'!C9+'PL by Month'!C14</f>
        <v>125500</v>
      </c>
      <c r="D59" s="5">
        <f>'PL by Month'!D25+'PL by Month'!D9+'PL by Month'!D14</f>
        <v>145500</v>
      </c>
      <c r="E59" s="5">
        <f>'PL by Month'!E25+'PL by Month'!E9+'PL by Month'!E14</f>
        <v>183500</v>
      </c>
      <c r="F59" s="5">
        <f>'PL by Month'!F25+'PL by Month'!F9+'PL by Month'!F14</f>
        <v>234500</v>
      </c>
      <c r="G59" s="5">
        <f>'PL by Month'!G25+'PL by Month'!G9+'PL by Month'!G14</f>
        <v>229500</v>
      </c>
      <c r="H59" s="5">
        <f>'PL by Month'!H25+'PL by Month'!H9+'PL by Month'!H14</f>
        <v>223500</v>
      </c>
      <c r="I59" s="5">
        <f>'PL by Month'!I25+'PL by Month'!I9+'PL by Month'!I14</f>
        <v>215500</v>
      </c>
      <c r="J59" s="5">
        <f>'PL by Month'!J25+'PL by Month'!J9+'PL by Month'!J14</f>
        <v>227500</v>
      </c>
      <c r="K59" s="5">
        <f>'PL by Month'!K25+'PL by Month'!K9+'PL by Month'!K14</f>
        <v>228500</v>
      </c>
      <c r="L59" s="5">
        <f>'PL by Month'!L25+'PL by Month'!L9+'PL by Month'!L14</f>
        <v>212500</v>
      </c>
      <c r="M59" s="5">
        <f>'PL by Month'!M25+'PL by Month'!M9+'PL by Month'!M14</f>
        <v>144500</v>
      </c>
      <c r="N59" s="5">
        <f>'PL by Month'!N25+'PL by Month'!N9+'PL by Month'!N14</f>
        <v>204500</v>
      </c>
      <c r="O59" s="5">
        <f>'PL by Month'!O25+'PL by Month'!O9+'PL by Month'!O14</f>
        <v>143500</v>
      </c>
      <c r="P59" s="5">
        <f>'PL by Month'!P25+'PL by Month'!P9+'PL by Month'!P14</f>
        <v>140500</v>
      </c>
      <c r="Q59" s="5">
        <f>'PL by Month'!Q25+'PL by Month'!Q9+'PL by Month'!Q14</f>
        <v>235500</v>
      </c>
      <c r="R59" s="5">
        <f>'PL by Month'!R25+'PL by Month'!R9+'PL by Month'!R14</f>
        <v>243500</v>
      </c>
      <c r="S59" s="5">
        <f>'PL by Month'!S25+'PL by Month'!S9+'PL by Month'!S14</f>
        <v>293500</v>
      </c>
      <c r="T59" s="5">
        <f>'PL by Month'!T25+'PL by Month'!T9+'PL by Month'!T14</f>
        <v>254500</v>
      </c>
      <c r="U59" s="5">
        <f>'PL by Month'!U25+'PL by Month'!U9+'PL by Month'!U14</f>
        <v>248500</v>
      </c>
      <c r="V59" s="5">
        <f>'PL by Month'!V25+'PL by Month'!V9+'PL by Month'!V14</f>
        <v>252500</v>
      </c>
      <c r="W59" s="5">
        <f>'PL by Month'!W25+'PL by Month'!W9+'PL by Month'!W14</f>
        <v>206500</v>
      </c>
      <c r="X59" s="5">
        <f>'PL by Month'!X25+'PL by Month'!X9+'PL by Month'!X14</f>
        <v>146500</v>
      </c>
      <c r="Y59" s="5">
        <f>'PL by Month'!Y25+'PL by Month'!Y9+'PL by Month'!Y14</f>
        <v>212500</v>
      </c>
      <c r="Z59" s="5">
        <f>'PL by Month'!Z25+'PL by Month'!Z9+'PL by Month'!Z14</f>
        <v>371500</v>
      </c>
      <c r="AA59" s="5">
        <f>'PL by Month'!AA25+'PL by Month'!AA9+'PL by Month'!AA14</f>
        <v>170500</v>
      </c>
      <c r="AB59" s="5">
        <f>'PL by Month'!AB25+'PL by Month'!AB9+'PL by Month'!AB14</f>
        <v>298500</v>
      </c>
      <c r="AC59" s="5">
        <f>'PL by Month'!AC25+'PL by Month'!AC9+'PL by Month'!AC14</f>
        <v>279500</v>
      </c>
      <c r="AD59" s="5">
        <f>'PL by Month'!AD25+'PL by Month'!AD9+'PL by Month'!AD14</f>
        <v>271500</v>
      </c>
      <c r="AE59" s="5">
        <f>'PL by Month'!AE25+'PL by Month'!AE9+'PL by Month'!AE14</f>
        <v>253500</v>
      </c>
      <c r="AF59" s="5">
        <f>'PL by Month'!AF25+'PL by Month'!AF9+'PL by Month'!AF14</f>
        <v>250500</v>
      </c>
      <c r="AG59" s="5">
        <f>'PL by Month'!AG25+'PL by Month'!AG9+'PL by Month'!AG14</f>
        <v>266500</v>
      </c>
      <c r="AH59" s="5">
        <f>'PL by Month'!AH25+'PL by Month'!AH9+'PL by Month'!AH14</f>
        <v>182500</v>
      </c>
      <c r="AI59" s="5">
        <f>'PL by Month'!AI25+'PL by Month'!AI9+'PL by Month'!AI14</f>
        <v>191500</v>
      </c>
      <c r="AJ59" s="5">
        <f>'PL by Month'!AJ25+'PL by Month'!AJ9+'PL by Month'!AJ14</f>
        <v>173500</v>
      </c>
      <c r="AK59" s="5">
        <f>'PL by Month'!AK25+'PL by Month'!AK9+'PL by Month'!AK14</f>
        <v>118500</v>
      </c>
      <c r="AL59" s="5">
        <f>'PL by Month'!AL25+'PL by Month'!AL9+'PL by Month'!AL14</f>
        <v>177500</v>
      </c>
      <c r="AM59" s="5">
        <f>'PL by Month'!AM25+'PL by Month'!AM9+'PL by Month'!AM14</f>
        <v>152500</v>
      </c>
      <c r="AN59" s="5">
        <f>'PL by Month'!AN25+'PL by Month'!AN9+'PL by Month'!AN14</f>
        <v>187500</v>
      </c>
      <c r="AO59" s="5">
        <f>'PL by Month'!AO25+'PL by Month'!AO9+'PL by Month'!AO14</f>
        <v>193500</v>
      </c>
      <c r="AP59" s="5">
        <f>'PL by Month'!AP25+'PL by Month'!AP9+'PL by Month'!AP14</f>
        <v>274500</v>
      </c>
      <c r="AQ59" s="5">
        <f>'PL by Month'!AQ25+'PL by Month'!AQ9+'PL by Month'!AQ14</f>
        <v>249500</v>
      </c>
      <c r="AR59" s="5">
        <f>'PL by Month'!AR25+'PL by Month'!AR9+'PL by Month'!AR14</f>
        <v>228500</v>
      </c>
      <c r="AS59" s="5">
        <f>'PL by Month'!AS25+'PL by Month'!AS9+'PL by Month'!AS14</f>
        <v>271500</v>
      </c>
      <c r="AT59" s="5">
        <f>'PL by Month'!AT25+'PL by Month'!AT9+'PL by Month'!AT14</f>
        <v>216500</v>
      </c>
      <c r="AU59" s="5">
        <f>'PL by Month'!AU25+'PL by Month'!AU9+'PL by Month'!AU14</f>
        <v>186500</v>
      </c>
      <c r="AV59" s="5">
        <f>'PL by Month'!AV25+'PL by Month'!AV9+'PL by Month'!AV14</f>
        <v>170500</v>
      </c>
      <c r="AW59" s="5">
        <f>'PL by Month'!AW25+'PL by Month'!AW9+'PL by Month'!AW14</f>
        <v>128500</v>
      </c>
      <c r="AX59" s="5">
        <f>'PL by Month'!AX25+'PL by Month'!AX9+'PL by Month'!AX14</f>
        <v>219670.78456837282</v>
      </c>
      <c r="AY59" s="5">
        <f>'PL by Month'!AY25+'PL by Month'!AY9+'PL by Month'!AY14</f>
        <v>135958.27606083755</v>
      </c>
      <c r="AZ59" s="5">
        <f>'PL by Month'!AZ25+'PL by Month'!AZ9+'PL by Month'!AZ14</f>
        <v>126335.25837652868</v>
      </c>
      <c r="BA59" s="5">
        <f>'PL by Month'!BA25+'PL by Month'!BA9+'PL by Month'!BA14</f>
        <v>254435.28568501375</v>
      </c>
      <c r="BB59" s="5">
        <f>'PL by Month'!BB25+'PL by Month'!BB9+'PL by Month'!BB14</f>
        <v>246302.75627058794</v>
      </c>
      <c r="BC59" s="5">
        <f>'PL by Month'!BC25+'PL by Month'!BC9+'PL by Month'!BC14</f>
        <v>283325.45909427013</v>
      </c>
      <c r="BD59" s="5">
        <f>'PL by Month'!BD25+'PL by Month'!BD9+'PL by Month'!BD14</f>
        <v>243861.94468038023</v>
      </c>
      <c r="BE59" s="5">
        <f>'PL by Month'!BE25+'PL by Month'!BE9+'PL by Month'!BE14</f>
        <v>341887.88541144616</v>
      </c>
      <c r="BF59" s="5">
        <f>'PL by Month'!BF25+'PL by Month'!BF9+'PL by Month'!BF14</f>
        <v>206978.2088369328</v>
      </c>
      <c r="BG59" s="5">
        <f>'PL by Month'!BG25+'PL by Month'!BG9+'PL by Month'!BG14</f>
        <v>234511.52957917497</v>
      </c>
      <c r="BH59" s="5">
        <f>'PL by Month'!BH25+'PL by Month'!BH9+'PL by Month'!BH14</f>
        <v>192024.0139335843</v>
      </c>
      <c r="BI59" s="5">
        <f>'PL by Month'!BI25+'PL by Month'!BI9+'PL by Month'!BI14</f>
        <v>160446.80053258853</v>
      </c>
    </row>
    <row r="60" spans="1:61" ht="12.75">
      <c r="A60" s="14" t="s">
        <v>65</v>
      </c>
      <c r="B60" s="5">
        <f>B59*2</f>
        <v>261000</v>
      </c>
      <c r="C60" s="5">
        <f aca="true" t="shared" si="32" ref="C60:AW60">C59*2</f>
        <v>251000</v>
      </c>
      <c r="D60" s="5">
        <f t="shared" si="32"/>
        <v>291000</v>
      </c>
      <c r="E60" s="5">
        <f t="shared" si="32"/>
        <v>367000</v>
      </c>
      <c r="F60" s="5">
        <f t="shared" si="32"/>
        <v>469000</v>
      </c>
      <c r="G60" s="5">
        <f t="shared" si="32"/>
        <v>459000</v>
      </c>
      <c r="H60" s="5">
        <f t="shared" si="32"/>
        <v>447000</v>
      </c>
      <c r="I60" s="5">
        <f t="shared" si="32"/>
        <v>431000</v>
      </c>
      <c r="J60" s="5">
        <f t="shared" si="32"/>
        <v>455000</v>
      </c>
      <c r="K60" s="5">
        <f t="shared" si="32"/>
        <v>457000</v>
      </c>
      <c r="L60" s="5">
        <f t="shared" si="32"/>
        <v>425000</v>
      </c>
      <c r="M60" s="5">
        <f t="shared" si="32"/>
        <v>289000</v>
      </c>
      <c r="N60" s="5">
        <f t="shared" si="32"/>
        <v>409000</v>
      </c>
      <c r="O60" s="5">
        <f t="shared" si="32"/>
        <v>287000</v>
      </c>
      <c r="P60" s="5">
        <f t="shared" si="32"/>
        <v>281000</v>
      </c>
      <c r="Q60" s="5">
        <f t="shared" si="32"/>
        <v>471000</v>
      </c>
      <c r="R60" s="5">
        <f t="shared" si="32"/>
        <v>487000</v>
      </c>
      <c r="S60" s="5">
        <f t="shared" si="32"/>
        <v>587000</v>
      </c>
      <c r="T60" s="5">
        <f t="shared" si="32"/>
        <v>509000</v>
      </c>
      <c r="U60" s="5">
        <f t="shared" si="32"/>
        <v>497000</v>
      </c>
      <c r="V60" s="5">
        <f t="shared" si="32"/>
        <v>505000</v>
      </c>
      <c r="W60" s="5">
        <f t="shared" si="32"/>
        <v>413000</v>
      </c>
      <c r="X60" s="5">
        <f t="shared" si="32"/>
        <v>293000</v>
      </c>
      <c r="Y60" s="5">
        <f t="shared" si="32"/>
        <v>425000</v>
      </c>
      <c r="Z60" s="5">
        <f t="shared" si="32"/>
        <v>743000</v>
      </c>
      <c r="AA60" s="5">
        <f t="shared" si="32"/>
        <v>341000</v>
      </c>
      <c r="AB60" s="26">
        <f t="shared" si="32"/>
        <v>597000</v>
      </c>
      <c r="AC60" s="5">
        <f t="shared" si="32"/>
        <v>559000</v>
      </c>
      <c r="AD60" s="5">
        <f t="shared" si="32"/>
        <v>543000</v>
      </c>
      <c r="AE60" s="5">
        <f t="shared" si="32"/>
        <v>507000</v>
      </c>
      <c r="AF60" s="5">
        <f t="shared" si="32"/>
        <v>501000</v>
      </c>
      <c r="AG60" s="5">
        <f t="shared" si="32"/>
        <v>533000</v>
      </c>
      <c r="AH60" s="5">
        <f t="shared" si="32"/>
        <v>365000</v>
      </c>
      <c r="AI60" s="5">
        <f t="shared" si="32"/>
        <v>383000</v>
      </c>
      <c r="AJ60" s="5">
        <f t="shared" si="32"/>
        <v>347000</v>
      </c>
      <c r="AK60" s="5">
        <f t="shared" si="32"/>
        <v>237000</v>
      </c>
      <c r="AL60" s="5">
        <f t="shared" si="32"/>
        <v>355000</v>
      </c>
      <c r="AM60" s="5">
        <f t="shared" si="32"/>
        <v>305000</v>
      </c>
      <c r="AN60" s="5">
        <f t="shared" si="32"/>
        <v>375000</v>
      </c>
      <c r="AO60" s="5">
        <f t="shared" si="32"/>
        <v>387000</v>
      </c>
      <c r="AP60" s="5">
        <f t="shared" si="32"/>
        <v>549000</v>
      </c>
      <c r="AQ60" s="5">
        <f t="shared" si="32"/>
        <v>499000</v>
      </c>
      <c r="AR60" s="5">
        <f t="shared" si="32"/>
        <v>457000</v>
      </c>
      <c r="AS60" s="5">
        <f t="shared" si="32"/>
        <v>543000</v>
      </c>
      <c r="AT60" s="5">
        <f t="shared" si="32"/>
        <v>433000</v>
      </c>
      <c r="AU60" s="5">
        <f t="shared" si="32"/>
        <v>373000</v>
      </c>
      <c r="AV60" s="5">
        <f t="shared" si="32"/>
        <v>341000</v>
      </c>
      <c r="AW60" s="5">
        <f t="shared" si="32"/>
        <v>257000</v>
      </c>
      <c r="AX60" s="5">
        <f>AX59*2</f>
        <v>439341.56913674565</v>
      </c>
      <c r="AY60" s="5">
        <f>AY59*2</f>
        <v>271916.5521216751</v>
      </c>
      <c r="AZ60" s="5">
        <f aca="true" t="shared" si="33" ref="AZ60:BI60">AZ59*2</f>
        <v>252670.51675305737</v>
      </c>
      <c r="BA60" s="5">
        <f t="shared" si="33"/>
        <v>508870.5713700275</v>
      </c>
      <c r="BB60" s="5">
        <f t="shared" si="33"/>
        <v>492605.5125411759</v>
      </c>
      <c r="BC60" s="5">
        <f t="shared" si="33"/>
        <v>566650.9181885403</v>
      </c>
      <c r="BD60" s="5">
        <f t="shared" si="33"/>
        <v>487723.88936076046</v>
      </c>
      <c r="BE60" s="5">
        <f t="shared" si="33"/>
        <v>683775.7708228923</v>
      </c>
      <c r="BF60" s="5">
        <f t="shared" si="33"/>
        <v>413956.4176738656</v>
      </c>
      <c r="BG60" s="5">
        <f t="shared" si="33"/>
        <v>469023.05915834993</v>
      </c>
      <c r="BH60" s="5">
        <f t="shared" si="33"/>
        <v>384048.0278671686</v>
      </c>
      <c r="BI60" s="5">
        <f t="shared" si="33"/>
        <v>320893.60106517706</v>
      </c>
    </row>
    <row r="61" ht="12.75">
      <c r="AQ61" s="5">
        <f>AQ60/0.65</f>
        <v>767692.3076923076</v>
      </c>
    </row>
    <row r="64" spans="44:45" ht="12.75">
      <c r="AR64" s="30" t="s">
        <v>188</v>
      </c>
      <c r="AS64" s="5">
        <f>+AK9</f>
        <v>180000</v>
      </c>
    </row>
    <row r="65" spans="44:45" ht="12.75">
      <c r="AR65" s="30" t="s">
        <v>189</v>
      </c>
      <c r="AS65" s="5">
        <f>-AS9</f>
        <v>-320000</v>
      </c>
    </row>
    <row r="66" spans="44:45" ht="12.75">
      <c r="AR66" s="30" t="s">
        <v>190</v>
      </c>
      <c r="AS66" s="5">
        <f>-AI30</f>
        <v>-125000</v>
      </c>
    </row>
    <row r="67" spans="44:45" ht="12.75">
      <c r="AR67" s="30" t="s">
        <v>191</v>
      </c>
      <c r="AS67" s="5">
        <f>+AS30</f>
        <v>200000</v>
      </c>
    </row>
    <row r="68" spans="44:45" ht="12.75">
      <c r="AR68" s="30" t="s">
        <v>192</v>
      </c>
      <c r="AS68" s="9">
        <f>+AS48</f>
        <v>227612</v>
      </c>
    </row>
    <row r="69" spans="44:46" ht="12.75">
      <c r="AR69" s="30" t="s">
        <v>193</v>
      </c>
      <c r="AS69" s="5">
        <f>+SUM(AS64:AS68)</f>
        <v>162612</v>
      </c>
      <c r="AT69" s="5">
        <f>+AS69*0.3</f>
        <v>48783.6</v>
      </c>
    </row>
    <row r="70" spans="44:46" ht="12.75">
      <c r="AR70" s="30" t="s">
        <v>194</v>
      </c>
      <c r="AS70" s="9">
        <v>0.35</v>
      </c>
      <c r="AT70" s="5">
        <f>0.05*AS69</f>
        <v>8130.6</v>
      </c>
    </row>
    <row r="71" spans="44:45" ht="12.75">
      <c r="AR71" s="30" t="s">
        <v>195</v>
      </c>
      <c r="AS71" s="5">
        <f>+AS69*AS70</f>
        <v>56914.2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61"/>
  <sheetViews>
    <sheetView zoomScale="130" zoomScaleNormal="130" zoomScalePageLayoutView="0" workbookViewId="0" topLeftCell="A1">
      <pane xSplit="1" ySplit="6" topLeftCell="AW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X55" sqref="AX55"/>
    </sheetView>
  </sheetViews>
  <sheetFormatPr defaultColWidth="9.140625" defaultRowHeight="12.75"/>
  <cols>
    <col min="1" max="1" width="45.00390625" style="5" bestFit="1" customWidth="1"/>
    <col min="2" max="3" width="11.8515625" style="5" bestFit="1" customWidth="1"/>
    <col min="4" max="6" width="12.421875" style="5" bestFit="1" customWidth="1"/>
    <col min="7" max="7" width="12.8515625" style="5" bestFit="1" customWidth="1"/>
    <col min="8" max="8" width="12.421875" style="5" bestFit="1" customWidth="1"/>
    <col min="9" max="12" width="12.8515625" style="5" bestFit="1" customWidth="1"/>
    <col min="13" max="13" width="13.140625" style="5" bestFit="1" customWidth="1"/>
    <col min="14" max="14" width="12.140625" style="5" bestFit="1" customWidth="1"/>
    <col min="15" max="15" width="11.8515625" style="5" bestFit="1" customWidth="1"/>
    <col min="16" max="17" width="12.140625" style="5" bestFit="1" customWidth="1"/>
    <col min="18" max="18" width="12.421875" style="5" bestFit="1" customWidth="1"/>
    <col min="19" max="19" width="12.140625" style="5" bestFit="1" customWidth="1"/>
    <col min="20" max="22" width="12.8515625" style="5" bestFit="1" customWidth="1"/>
    <col min="23" max="24" width="13.421875" style="5" bestFit="1" customWidth="1"/>
    <col min="25" max="25" width="13.140625" style="5" bestFit="1" customWidth="1"/>
    <col min="26" max="27" width="12.140625" style="5" bestFit="1" customWidth="1"/>
    <col min="28" max="28" width="12.8515625" style="26" bestFit="1" customWidth="1"/>
    <col min="29" max="29" width="12.28125" style="5" bestFit="1" customWidth="1"/>
    <col min="30" max="30" width="12.421875" style="5" bestFit="1" customWidth="1"/>
    <col min="31" max="34" width="12.8515625" style="5" bestFit="1" customWidth="1"/>
    <col min="35" max="35" width="13.421875" style="5" bestFit="1" customWidth="1"/>
    <col min="36" max="36" width="13.140625" style="5" bestFit="1" customWidth="1"/>
    <col min="37" max="37" width="13.421875" style="5" bestFit="1" customWidth="1"/>
    <col min="38" max="41" width="12.140625" style="5" bestFit="1" customWidth="1"/>
    <col min="42" max="42" width="11.8515625" style="5" bestFit="1" customWidth="1"/>
    <col min="43" max="45" width="12.8515625" style="5" bestFit="1" customWidth="1"/>
    <col min="46" max="47" width="13.140625" style="5" bestFit="1" customWidth="1"/>
    <col min="48" max="49" width="13.421875" style="5" bestFit="1" customWidth="1"/>
    <col min="50" max="50" width="12.8515625" style="5" bestFit="1" customWidth="1"/>
    <col min="51" max="52" width="11.8515625" style="5" bestFit="1" customWidth="1"/>
    <col min="53" max="57" width="13.421875" style="5" bestFit="1" customWidth="1"/>
    <col min="58" max="61" width="14.421875" style="5" bestFit="1" customWidth="1"/>
    <col min="62" max="16384" width="11.421875" style="5" customWidth="1"/>
  </cols>
  <sheetData>
    <row r="1" ht="12.75">
      <c r="A1" s="71" t="str">
        <f>Dashboard!A2</f>
        <v>ABC Company</v>
      </c>
    </row>
    <row r="2" spans="1:49" ht="12.75">
      <c r="A2" s="5" t="s">
        <v>112</v>
      </c>
      <c r="B2" s="5">
        <f>(ROUND(B7/1000,0)*1000)-20000</f>
        <v>130000</v>
      </c>
      <c r="C2" s="5">
        <f>(ROUND(C7/1000,0)*1000)-20000</f>
        <v>106000</v>
      </c>
      <c r="D2" s="5">
        <f>(ROUND(D22/1000,0)*1000)+10000</f>
        <v>40000</v>
      </c>
      <c r="E2" s="5">
        <f aca="true" t="shared" si="0" ref="E2:AW2">(ROUND(E22/1000,0)*1000)+10000</f>
        <v>62000</v>
      </c>
      <c r="F2" s="5">
        <f t="shared" si="0"/>
        <v>47000</v>
      </c>
      <c r="G2" s="5">
        <f t="shared" si="0"/>
        <v>47000</v>
      </c>
      <c r="H2" s="5">
        <f t="shared" si="0"/>
        <v>47000</v>
      </c>
      <c r="I2" s="5">
        <f t="shared" si="0"/>
        <v>47000</v>
      </c>
      <c r="J2" s="5">
        <f t="shared" si="0"/>
        <v>28000</v>
      </c>
      <c r="K2" s="5">
        <f t="shared" si="0"/>
        <v>36000</v>
      </c>
      <c r="L2" s="5">
        <f t="shared" si="0"/>
        <v>26000</v>
      </c>
      <c r="M2" s="5">
        <f t="shared" si="0"/>
        <v>20000</v>
      </c>
      <c r="N2" s="5">
        <f>(ROUND(N22/1000,0)*1000)+10000</f>
        <v>37000</v>
      </c>
      <c r="O2" s="5">
        <f t="shared" si="0"/>
        <v>58000</v>
      </c>
      <c r="P2" s="5">
        <f t="shared" si="0"/>
        <v>63000</v>
      </c>
      <c r="Q2" s="5">
        <f t="shared" si="0"/>
        <v>79000</v>
      </c>
      <c r="R2" s="5">
        <f t="shared" si="0"/>
        <v>50000</v>
      </c>
      <c r="S2" s="5">
        <f t="shared" si="0"/>
        <v>54000</v>
      </c>
      <c r="T2" s="5">
        <f t="shared" si="0"/>
        <v>55000</v>
      </c>
      <c r="U2" s="5">
        <f t="shared" si="0"/>
        <v>55000</v>
      </c>
      <c r="V2" s="5">
        <f t="shared" si="0"/>
        <v>65000</v>
      </c>
      <c r="W2" s="5">
        <f t="shared" si="0"/>
        <v>52000</v>
      </c>
      <c r="X2" s="5">
        <f t="shared" si="0"/>
        <v>46000</v>
      </c>
      <c r="Y2" s="5">
        <f t="shared" si="0"/>
        <v>54000</v>
      </c>
      <c r="Z2" s="5">
        <f t="shared" si="0"/>
        <v>42000</v>
      </c>
      <c r="AA2" s="5">
        <f t="shared" si="0"/>
        <v>42000</v>
      </c>
      <c r="AB2" s="5">
        <f t="shared" si="0"/>
        <v>54000</v>
      </c>
      <c r="AC2" s="5">
        <f t="shared" si="0"/>
        <v>42000</v>
      </c>
      <c r="AD2" s="5">
        <f t="shared" si="0"/>
        <v>41000</v>
      </c>
      <c r="AE2" s="5">
        <f t="shared" si="0"/>
        <v>40000</v>
      </c>
      <c r="AF2" s="5">
        <f t="shared" si="0"/>
        <v>40000</v>
      </c>
      <c r="AG2" s="5">
        <f t="shared" si="0"/>
        <v>55000</v>
      </c>
      <c r="AH2" s="5">
        <f t="shared" si="0"/>
        <v>42000</v>
      </c>
      <c r="AI2" s="5">
        <f t="shared" si="0"/>
        <v>44000</v>
      </c>
      <c r="AJ2" s="5">
        <f t="shared" si="0"/>
        <v>41000</v>
      </c>
      <c r="AK2" s="5">
        <f t="shared" si="0"/>
        <v>41000</v>
      </c>
      <c r="AL2" s="5">
        <f t="shared" si="0"/>
        <v>38000</v>
      </c>
      <c r="AM2" s="5">
        <f t="shared" si="0"/>
        <v>39000</v>
      </c>
      <c r="AN2" s="5">
        <f t="shared" si="0"/>
        <v>58000</v>
      </c>
      <c r="AO2" s="5">
        <f t="shared" si="0"/>
        <v>46000</v>
      </c>
      <c r="AP2" s="5">
        <f t="shared" si="0"/>
        <v>44000</v>
      </c>
      <c r="AQ2" s="5">
        <f t="shared" si="0"/>
        <v>44000</v>
      </c>
      <c r="AR2" s="5">
        <f t="shared" si="0"/>
        <v>43000</v>
      </c>
      <c r="AS2" s="5">
        <f t="shared" si="0"/>
        <v>59000</v>
      </c>
      <c r="AT2" s="5">
        <f t="shared" si="0"/>
        <v>44000</v>
      </c>
      <c r="AU2" s="5">
        <f t="shared" si="0"/>
        <v>43000</v>
      </c>
      <c r="AV2" s="5">
        <f t="shared" si="0"/>
        <v>42000</v>
      </c>
      <c r="AW2" s="5">
        <f t="shared" si="0"/>
        <v>40000</v>
      </c>
    </row>
    <row r="3" spans="1:61" ht="12.75">
      <c r="A3" s="5" t="s">
        <v>113</v>
      </c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88">
        <v>0.1</v>
      </c>
      <c r="AY3" s="36">
        <f aca="true" t="shared" si="1" ref="AY3:BI3">AX3</f>
        <v>0.1</v>
      </c>
      <c r="AZ3" s="36">
        <f t="shared" si="1"/>
        <v>0.1</v>
      </c>
      <c r="BA3" s="36">
        <f t="shared" si="1"/>
        <v>0.1</v>
      </c>
      <c r="BB3" s="36">
        <f t="shared" si="1"/>
        <v>0.1</v>
      </c>
      <c r="BC3" s="36">
        <f t="shared" si="1"/>
        <v>0.1</v>
      </c>
      <c r="BD3" s="36">
        <f t="shared" si="1"/>
        <v>0.1</v>
      </c>
      <c r="BE3" s="36">
        <f t="shared" si="1"/>
        <v>0.1</v>
      </c>
      <c r="BF3" s="36">
        <f t="shared" si="1"/>
        <v>0.1</v>
      </c>
      <c r="BG3" s="36">
        <f t="shared" si="1"/>
        <v>0.1</v>
      </c>
      <c r="BH3" s="36">
        <f t="shared" si="1"/>
        <v>0.1</v>
      </c>
      <c r="BI3" s="36">
        <f t="shared" si="1"/>
        <v>0.1</v>
      </c>
    </row>
    <row r="4" spans="1:61" ht="12.75">
      <c r="A4" s="30" t="s">
        <v>196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 s="6" t="s">
        <v>45</v>
      </c>
      <c r="AY4" s="6" t="s">
        <v>45</v>
      </c>
      <c r="AZ4" s="6" t="s">
        <v>45</v>
      </c>
      <c r="BA4" s="6" t="s">
        <v>45</v>
      </c>
      <c r="BB4" s="6" t="s">
        <v>45</v>
      </c>
      <c r="BC4" s="6" t="s">
        <v>45</v>
      </c>
      <c r="BD4" s="6" t="s">
        <v>45</v>
      </c>
      <c r="BE4" s="6" t="s">
        <v>45</v>
      </c>
      <c r="BF4" s="6" t="s">
        <v>45</v>
      </c>
      <c r="BG4" s="6" t="s">
        <v>45</v>
      </c>
      <c r="BH4" s="6" t="s">
        <v>45</v>
      </c>
      <c r="BI4" s="6" t="s">
        <v>45</v>
      </c>
    </row>
    <row r="5" spans="2:61" ht="12.75"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6" t="s">
        <v>22</v>
      </c>
      <c r="Q5" s="6" t="s">
        <v>23</v>
      </c>
      <c r="R5" s="6" t="s">
        <v>24</v>
      </c>
      <c r="S5" s="6" t="s">
        <v>25</v>
      </c>
      <c r="T5" s="6" t="s">
        <v>26</v>
      </c>
      <c r="U5" s="6" t="s">
        <v>27</v>
      </c>
      <c r="V5" s="6" t="s">
        <v>29</v>
      </c>
      <c r="W5" s="6" t="s">
        <v>30</v>
      </c>
      <c r="X5" s="6" t="s">
        <v>31</v>
      </c>
      <c r="Y5" s="6" t="s">
        <v>32</v>
      </c>
      <c r="Z5" s="6" t="s">
        <v>33</v>
      </c>
      <c r="AA5" s="6" t="s">
        <v>34</v>
      </c>
      <c r="AB5" s="6" t="s">
        <v>35</v>
      </c>
      <c r="AC5" s="6" t="s">
        <v>36</v>
      </c>
      <c r="AD5" s="6" t="s">
        <v>37</v>
      </c>
      <c r="AE5" s="6" t="s">
        <v>38</v>
      </c>
      <c r="AF5" s="6" t="s">
        <v>39</v>
      </c>
      <c r="AG5" s="6" t="s">
        <v>40</v>
      </c>
      <c r="AH5" s="6" t="s">
        <v>41</v>
      </c>
      <c r="AI5" s="6" t="s">
        <v>42</v>
      </c>
      <c r="AJ5" s="6" t="s">
        <v>43</v>
      </c>
      <c r="AK5" s="6" t="s">
        <v>44</v>
      </c>
      <c r="AL5" s="6" t="s">
        <v>101</v>
      </c>
      <c r="AM5" s="6" t="s">
        <v>102</v>
      </c>
      <c r="AN5" s="6" t="s">
        <v>103</v>
      </c>
      <c r="AO5" s="6" t="s">
        <v>105</v>
      </c>
      <c r="AP5" s="6" t="s">
        <v>104</v>
      </c>
      <c r="AQ5" s="6" t="s">
        <v>106</v>
      </c>
      <c r="AR5" s="6" t="s">
        <v>114</v>
      </c>
      <c r="AS5" s="6" t="s">
        <v>115</v>
      </c>
      <c r="AT5" s="6" t="s">
        <v>116</v>
      </c>
      <c r="AU5" s="6" t="s">
        <v>117</v>
      </c>
      <c r="AV5" s="6" t="s">
        <v>118</v>
      </c>
      <c r="AW5" s="6" t="s">
        <v>119</v>
      </c>
      <c r="AX5" s="6" t="s">
        <v>164</v>
      </c>
      <c r="AY5" s="6" t="s">
        <v>165</v>
      </c>
      <c r="AZ5" s="6" t="s">
        <v>166</v>
      </c>
      <c r="BA5" s="6" t="s">
        <v>167</v>
      </c>
      <c r="BB5" s="6" t="s">
        <v>168</v>
      </c>
      <c r="BC5" s="6" t="s">
        <v>169</v>
      </c>
      <c r="BD5" s="6" t="s">
        <v>170</v>
      </c>
      <c r="BE5" s="6" t="s">
        <v>171</v>
      </c>
      <c r="BF5" s="6" t="s">
        <v>172</v>
      </c>
      <c r="BG5" s="6" t="s">
        <v>173</v>
      </c>
      <c r="BH5" s="6" t="s">
        <v>174</v>
      </c>
      <c r="BI5" s="6" t="s">
        <v>175</v>
      </c>
    </row>
    <row r="6" ht="12.75">
      <c r="A6" s="7"/>
    </row>
    <row r="7" spans="1:61" ht="12.75">
      <c r="A7" s="73" t="s">
        <v>137</v>
      </c>
      <c r="B7" s="5">
        <v>150000</v>
      </c>
      <c r="C7" s="5">
        <v>126000</v>
      </c>
      <c r="D7" s="5">
        <v>58000</v>
      </c>
      <c r="E7" s="5">
        <v>158000</v>
      </c>
      <c r="F7" s="5">
        <v>262000</v>
      </c>
      <c r="G7" s="5">
        <v>179000</v>
      </c>
      <c r="H7" s="5">
        <v>378000</v>
      </c>
      <c r="I7" s="5">
        <v>185000</v>
      </c>
      <c r="J7" s="5">
        <v>335000</v>
      </c>
      <c r="K7" s="5">
        <v>274000</v>
      </c>
      <c r="L7" s="5">
        <v>123000</v>
      </c>
      <c r="M7" s="5">
        <v>286000</v>
      </c>
      <c r="N7" s="5">
        <v>216000</v>
      </c>
      <c r="O7" s="5">
        <v>109000</v>
      </c>
      <c r="P7" s="5">
        <v>135000</v>
      </c>
      <c r="Q7" s="5">
        <v>211000</v>
      </c>
      <c r="R7" s="5">
        <v>303000</v>
      </c>
      <c r="S7" s="5">
        <v>387000</v>
      </c>
      <c r="T7" s="5">
        <v>276000</v>
      </c>
      <c r="U7" s="5">
        <v>257000</v>
      </c>
      <c r="V7" s="5">
        <v>240000</v>
      </c>
      <c r="W7" s="5">
        <v>282000</v>
      </c>
      <c r="X7" s="5">
        <v>177000</v>
      </c>
      <c r="Y7" s="5">
        <v>200000</v>
      </c>
      <c r="Z7" s="5">
        <v>550000</v>
      </c>
      <c r="AA7" s="5">
        <v>161000</v>
      </c>
      <c r="AB7" s="26">
        <v>58000</v>
      </c>
      <c r="AC7" s="5">
        <v>316000</v>
      </c>
      <c r="AD7" s="5">
        <v>328000</v>
      </c>
      <c r="AE7" s="5">
        <v>374000</v>
      </c>
      <c r="AF7" s="5">
        <v>291000</v>
      </c>
      <c r="AG7" s="5">
        <v>301000</v>
      </c>
      <c r="AH7" s="5">
        <v>169000</v>
      </c>
      <c r="AI7" s="5">
        <v>344000</v>
      </c>
      <c r="AJ7" s="5">
        <v>218000</v>
      </c>
      <c r="AK7" s="5">
        <v>113000</v>
      </c>
      <c r="AL7" s="5">
        <v>230000</v>
      </c>
      <c r="AM7" s="5">
        <v>114000</v>
      </c>
      <c r="AN7" s="5">
        <v>97000</v>
      </c>
      <c r="AO7" s="5">
        <v>280000</v>
      </c>
      <c r="AP7" s="5">
        <v>268000</v>
      </c>
      <c r="AQ7" s="5">
        <v>322000</v>
      </c>
      <c r="AR7" s="5">
        <v>266000</v>
      </c>
      <c r="AS7" s="5">
        <v>411000</v>
      </c>
      <c r="AT7" s="5">
        <v>217000</v>
      </c>
      <c r="AU7" s="5">
        <v>258000</v>
      </c>
      <c r="AV7" s="5">
        <v>194000</v>
      </c>
      <c r="AW7" s="5">
        <v>146000</v>
      </c>
      <c r="AX7" s="26">
        <f>AL7*(1+AX3)</f>
        <v>253000.00000000003</v>
      </c>
      <c r="AY7" s="26">
        <f aca="true" t="shared" si="2" ref="AY7:BI7">AM7*(1+AY3)</f>
        <v>125400.00000000001</v>
      </c>
      <c r="AZ7" s="26">
        <f t="shared" si="2"/>
        <v>106700.00000000001</v>
      </c>
      <c r="BA7" s="26">
        <f t="shared" si="2"/>
        <v>308000</v>
      </c>
      <c r="BB7" s="26">
        <f t="shared" si="2"/>
        <v>294800</v>
      </c>
      <c r="BC7" s="26">
        <f t="shared" si="2"/>
        <v>354200</v>
      </c>
      <c r="BD7" s="26">
        <f t="shared" si="2"/>
        <v>292600</v>
      </c>
      <c r="BE7" s="26">
        <f t="shared" si="2"/>
        <v>452100.00000000006</v>
      </c>
      <c r="BF7" s="26">
        <f t="shared" si="2"/>
        <v>238700.00000000003</v>
      </c>
      <c r="BG7" s="26">
        <f t="shared" si="2"/>
        <v>283800</v>
      </c>
      <c r="BH7" s="26">
        <f t="shared" si="2"/>
        <v>213400.00000000003</v>
      </c>
      <c r="BI7" s="26">
        <f t="shared" si="2"/>
        <v>160600</v>
      </c>
    </row>
    <row r="8" ht="12.75">
      <c r="A8" s="10"/>
    </row>
    <row r="9" spans="1:61" ht="12.75">
      <c r="A9" s="7" t="s">
        <v>0</v>
      </c>
      <c r="B9" s="9">
        <v>40000</v>
      </c>
      <c r="C9" s="9">
        <v>45000</v>
      </c>
      <c r="D9" s="9">
        <v>87000</v>
      </c>
      <c r="E9" s="9">
        <v>51000</v>
      </c>
      <c r="F9" s="9">
        <v>113000</v>
      </c>
      <c r="G9" s="9">
        <v>101000</v>
      </c>
      <c r="H9" s="9">
        <v>96000</v>
      </c>
      <c r="I9" s="9">
        <v>91000</v>
      </c>
      <c r="J9" s="9">
        <v>102000</v>
      </c>
      <c r="K9" s="9">
        <v>74000</v>
      </c>
      <c r="L9" s="9">
        <v>112000</v>
      </c>
      <c r="M9" s="9">
        <v>-7000</v>
      </c>
      <c r="N9" s="9">
        <v>84000</v>
      </c>
      <c r="O9" s="9">
        <v>32000</v>
      </c>
      <c r="P9" s="9">
        <v>34000</v>
      </c>
      <c r="Q9" s="9">
        <v>86000</v>
      </c>
      <c r="R9" s="9">
        <v>95000</v>
      </c>
      <c r="S9" s="9">
        <v>111000</v>
      </c>
      <c r="T9" s="9">
        <v>112000</v>
      </c>
      <c r="U9" s="9">
        <v>87000</v>
      </c>
      <c r="V9" s="9">
        <v>77000</v>
      </c>
      <c r="W9" s="9">
        <v>87000</v>
      </c>
      <c r="X9" s="9">
        <v>53000</v>
      </c>
      <c r="Y9" s="9">
        <v>57000</v>
      </c>
      <c r="Z9" s="9">
        <v>75000</v>
      </c>
      <c r="AA9" s="9">
        <v>55000</v>
      </c>
      <c r="AB9" s="9">
        <v>201000</v>
      </c>
      <c r="AC9" s="9">
        <v>123000</v>
      </c>
      <c r="AD9" s="9">
        <v>124000</v>
      </c>
      <c r="AE9" s="9">
        <v>120000</v>
      </c>
      <c r="AF9" s="9">
        <v>101000</v>
      </c>
      <c r="AG9" s="9">
        <v>74000</v>
      </c>
      <c r="AH9" s="9">
        <v>58000</v>
      </c>
      <c r="AI9" s="9">
        <v>68000</v>
      </c>
      <c r="AJ9" s="9">
        <v>63000</v>
      </c>
      <c r="AK9" s="9">
        <v>27000</v>
      </c>
      <c r="AL9" s="9">
        <v>54000</v>
      </c>
      <c r="AM9" s="9">
        <v>43000</v>
      </c>
      <c r="AN9" s="9">
        <v>82000</v>
      </c>
      <c r="AO9" s="9">
        <v>81000</v>
      </c>
      <c r="AP9" s="9">
        <v>122000</v>
      </c>
      <c r="AQ9" s="9">
        <v>100000</v>
      </c>
      <c r="AR9" s="9">
        <v>76000</v>
      </c>
      <c r="AS9" s="9">
        <v>79000</v>
      </c>
      <c r="AT9" s="9">
        <v>60000</v>
      </c>
      <c r="AU9" s="9">
        <v>55000</v>
      </c>
      <c r="AV9" s="9">
        <v>73000</v>
      </c>
      <c r="AW9" s="9">
        <v>32000</v>
      </c>
      <c r="AX9" s="9">
        <f>AX7-AX11</f>
        <v>78430.00000000003</v>
      </c>
      <c r="AY9" s="9">
        <f aca="true" t="shared" si="3" ref="AY9:BI9">AY7-AY11</f>
        <v>38874.000000000015</v>
      </c>
      <c r="AZ9" s="9">
        <f t="shared" si="3"/>
        <v>33077.000000000015</v>
      </c>
      <c r="BA9" s="9">
        <f t="shared" si="3"/>
        <v>95480.00000000003</v>
      </c>
      <c r="BB9" s="9">
        <f t="shared" si="3"/>
        <v>91388.00000000003</v>
      </c>
      <c r="BC9" s="9">
        <f t="shared" si="3"/>
        <v>109802.00000000003</v>
      </c>
      <c r="BD9" s="9">
        <f t="shared" si="3"/>
        <v>90706.00000000003</v>
      </c>
      <c r="BE9" s="9">
        <f t="shared" si="3"/>
        <v>140151.00000000006</v>
      </c>
      <c r="BF9" s="9">
        <f t="shared" si="3"/>
        <v>73997.00000000003</v>
      </c>
      <c r="BG9" s="9">
        <f t="shared" si="3"/>
        <v>87978.00000000003</v>
      </c>
      <c r="BH9" s="9">
        <f t="shared" si="3"/>
        <v>66154.00000000003</v>
      </c>
      <c r="BI9" s="9">
        <f t="shared" si="3"/>
        <v>49786.000000000015</v>
      </c>
    </row>
    <row r="10" spans="1:28" ht="12.75">
      <c r="A10" s="10"/>
      <c r="AB10" s="5"/>
    </row>
    <row r="11" spans="1:61" ht="12.75">
      <c r="A11" s="72" t="s">
        <v>200</v>
      </c>
      <c r="B11" s="5">
        <f>B7-B9</f>
        <v>110000</v>
      </c>
      <c r="C11" s="5">
        <f aca="true" t="shared" si="4" ref="C11:AW11">C7-C9</f>
        <v>81000</v>
      </c>
      <c r="D11" s="5">
        <f t="shared" si="4"/>
        <v>-29000</v>
      </c>
      <c r="E11" s="5">
        <f t="shared" si="4"/>
        <v>107000</v>
      </c>
      <c r="F11" s="5">
        <f t="shared" si="4"/>
        <v>149000</v>
      </c>
      <c r="G11" s="5">
        <f t="shared" si="4"/>
        <v>78000</v>
      </c>
      <c r="H11" s="5">
        <f t="shared" si="4"/>
        <v>282000</v>
      </c>
      <c r="I11" s="5">
        <f t="shared" si="4"/>
        <v>94000</v>
      </c>
      <c r="J11" s="5">
        <f t="shared" si="4"/>
        <v>233000</v>
      </c>
      <c r="K11" s="5">
        <f t="shared" si="4"/>
        <v>200000</v>
      </c>
      <c r="L11" s="5">
        <f t="shared" si="4"/>
        <v>11000</v>
      </c>
      <c r="M11" s="5">
        <f t="shared" si="4"/>
        <v>293000</v>
      </c>
      <c r="N11" s="5">
        <f t="shared" si="4"/>
        <v>132000</v>
      </c>
      <c r="O11" s="5">
        <f t="shared" si="4"/>
        <v>77000</v>
      </c>
      <c r="P11" s="5">
        <f t="shared" si="4"/>
        <v>101000</v>
      </c>
      <c r="Q11" s="5">
        <f t="shared" si="4"/>
        <v>125000</v>
      </c>
      <c r="R11" s="5">
        <f t="shared" si="4"/>
        <v>208000</v>
      </c>
      <c r="S11" s="5">
        <f t="shared" si="4"/>
        <v>276000</v>
      </c>
      <c r="T11" s="5">
        <f t="shared" si="4"/>
        <v>164000</v>
      </c>
      <c r="U11" s="5">
        <f t="shared" si="4"/>
        <v>170000</v>
      </c>
      <c r="V11" s="5">
        <f t="shared" si="4"/>
        <v>163000</v>
      </c>
      <c r="W11" s="5">
        <f t="shared" si="4"/>
        <v>195000</v>
      </c>
      <c r="X11" s="5">
        <f t="shared" si="4"/>
        <v>124000</v>
      </c>
      <c r="Y11" s="5">
        <f t="shared" si="4"/>
        <v>143000</v>
      </c>
      <c r="Z11" s="5">
        <f t="shared" si="4"/>
        <v>475000</v>
      </c>
      <c r="AA11" s="5">
        <f t="shared" si="4"/>
        <v>106000</v>
      </c>
      <c r="AB11" s="5">
        <f t="shared" si="4"/>
        <v>-143000</v>
      </c>
      <c r="AC11" s="5">
        <f t="shared" si="4"/>
        <v>193000</v>
      </c>
      <c r="AD11" s="5">
        <f t="shared" si="4"/>
        <v>204000</v>
      </c>
      <c r="AE11" s="5">
        <f t="shared" si="4"/>
        <v>254000</v>
      </c>
      <c r="AF11" s="5">
        <f t="shared" si="4"/>
        <v>190000</v>
      </c>
      <c r="AG11" s="5">
        <f t="shared" si="4"/>
        <v>227000</v>
      </c>
      <c r="AH11" s="5">
        <f t="shared" si="4"/>
        <v>111000</v>
      </c>
      <c r="AI11" s="5">
        <f t="shared" si="4"/>
        <v>276000</v>
      </c>
      <c r="AJ11" s="5">
        <f t="shared" si="4"/>
        <v>155000</v>
      </c>
      <c r="AK11" s="5">
        <f t="shared" si="4"/>
        <v>86000</v>
      </c>
      <c r="AL11" s="5">
        <f t="shared" si="4"/>
        <v>176000</v>
      </c>
      <c r="AM11" s="5">
        <f t="shared" si="4"/>
        <v>71000</v>
      </c>
      <c r="AN11" s="5">
        <f t="shared" si="4"/>
        <v>15000</v>
      </c>
      <c r="AO11" s="5">
        <f t="shared" si="4"/>
        <v>199000</v>
      </c>
      <c r="AP11" s="5">
        <f t="shared" si="4"/>
        <v>146000</v>
      </c>
      <c r="AQ11" s="5">
        <f t="shared" si="4"/>
        <v>222000</v>
      </c>
      <c r="AR11" s="5">
        <f t="shared" si="4"/>
        <v>190000</v>
      </c>
      <c r="AS11" s="5">
        <f t="shared" si="4"/>
        <v>332000</v>
      </c>
      <c r="AT11" s="5">
        <f t="shared" si="4"/>
        <v>157000</v>
      </c>
      <c r="AU11" s="5">
        <f t="shared" si="4"/>
        <v>203000</v>
      </c>
      <c r="AV11" s="5">
        <f t="shared" si="4"/>
        <v>121000</v>
      </c>
      <c r="AW11" s="5">
        <f t="shared" si="4"/>
        <v>114000</v>
      </c>
      <c r="AX11" s="5">
        <f>AX7*AX12</f>
        <v>174570</v>
      </c>
      <c r="AY11" s="5">
        <f aca="true" t="shared" si="5" ref="AY11:BI11">AY7*AY12</f>
        <v>86526</v>
      </c>
      <c r="AZ11" s="5">
        <f t="shared" si="5"/>
        <v>73623</v>
      </c>
      <c r="BA11" s="5">
        <f t="shared" si="5"/>
        <v>212519.99999999997</v>
      </c>
      <c r="BB11" s="5">
        <f t="shared" si="5"/>
        <v>203411.99999999997</v>
      </c>
      <c r="BC11" s="5">
        <f t="shared" si="5"/>
        <v>244397.99999999997</v>
      </c>
      <c r="BD11" s="5">
        <f t="shared" si="5"/>
        <v>201893.99999999997</v>
      </c>
      <c r="BE11" s="5">
        <f t="shared" si="5"/>
        <v>311949</v>
      </c>
      <c r="BF11" s="5">
        <f t="shared" si="5"/>
        <v>164703</v>
      </c>
      <c r="BG11" s="5">
        <f t="shared" si="5"/>
        <v>195821.99999999997</v>
      </c>
      <c r="BH11" s="5">
        <f t="shared" si="5"/>
        <v>147246</v>
      </c>
      <c r="BI11" s="5">
        <f t="shared" si="5"/>
        <v>110813.99999999999</v>
      </c>
    </row>
    <row r="12" spans="1:61" s="76" customFormat="1" ht="12.75">
      <c r="A12" s="80" t="s">
        <v>202</v>
      </c>
      <c r="B12" s="75">
        <f>B11/B7</f>
        <v>0.7333333333333333</v>
      </c>
      <c r="C12" s="75">
        <f aca="true" t="shared" si="6" ref="C12:AW12">C11/C7</f>
        <v>0.6428571428571429</v>
      </c>
      <c r="D12" s="75">
        <f t="shared" si="6"/>
        <v>-0.5</v>
      </c>
      <c r="E12" s="75">
        <f t="shared" si="6"/>
        <v>0.6772151898734177</v>
      </c>
      <c r="F12" s="75">
        <f t="shared" si="6"/>
        <v>0.5687022900763359</v>
      </c>
      <c r="G12" s="75">
        <f t="shared" si="6"/>
        <v>0.43575418994413406</v>
      </c>
      <c r="H12" s="75">
        <f t="shared" si="6"/>
        <v>0.746031746031746</v>
      </c>
      <c r="I12" s="75">
        <f t="shared" si="6"/>
        <v>0.5081081081081081</v>
      </c>
      <c r="J12" s="75">
        <f t="shared" si="6"/>
        <v>0.6955223880597015</v>
      </c>
      <c r="K12" s="75">
        <f t="shared" si="6"/>
        <v>0.7299270072992701</v>
      </c>
      <c r="L12" s="75">
        <f t="shared" si="6"/>
        <v>0.08943089430894309</v>
      </c>
      <c r="M12" s="75">
        <f t="shared" si="6"/>
        <v>1.0244755244755244</v>
      </c>
      <c r="N12" s="75">
        <f t="shared" si="6"/>
        <v>0.6111111111111112</v>
      </c>
      <c r="O12" s="75">
        <f t="shared" si="6"/>
        <v>0.7064220183486238</v>
      </c>
      <c r="P12" s="75">
        <f t="shared" si="6"/>
        <v>0.7481481481481481</v>
      </c>
      <c r="Q12" s="75">
        <f t="shared" si="6"/>
        <v>0.5924170616113744</v>
      </c>
      <c r="R12" s="75">
        <f t="shared" si="6"/>
        <v>0.6864686468646864</v>
      </c>
      <c r="S12" s="75">
        <f t="shared" si="6"/>
        <v>0.7131782945736435</v>
      </c>
      <c r="T12" s="75">
        <f t="shared" si="6"/>
        <v>0.5942028985507246</v>
      </c>
      <c r="U12" s="75">
        <f t="shared" si="6"/>
        <v>0.6614785992217899</v>
      </c>
      <c r="V12" s="75">
        <f t="shared" si="6"/>
        <v>0.6791666666666667</v>
      </c>
      <c r="W12" s="75">
        <f t="shared" si="6"/>
        <v>0.6914893617021277</v>
      </c>
      <c r="X12" s="75">
        <f t="shared" si="6"/>
        <v>0.7005649717514124</v>
      </c>
      <c r="Y12" s="75">
        <f t="shared" si="6"/>
        <v>0.715</v>
      </c>
      <c r="Z12" s="75">
        <f t="shared" si="6"/>
        <v>0.8636363636363636</v>
      </c>
      <c r="AA12" s="75">
        <f t="shared" si="6"/>
        <v>0.6583850931677019</v>
      </c>
      <c r="AB12" s="75">
        <f t="shared" si="6"/>
        <v>-2.4655172413793105</v>
      </c>
      <c r="AC12" s="75">
        <f t="shared" si="6"/>
        <v>0.6107594936708861</v>
      </c>
      <c r="AD12" s="75">
        <f t="shared" si="6"/>
        <v>0.6219512195121951</v>
      </c>
      <c r="AE12" s="75">
        <f t="shared" si="6"/>
        <v>0.679144385026738</v>
      </c>
      <c r="AF12" s="75">
        <f t="shared" si="6"/>
        <v>0.6529209621993127</v>
      </c>
      <c r="AG12" s="75">
        <f t="shared" si="6"/>
        <v>0.7541528239202658</v>
      </c>
      <c r="AH12" s="75">
        <f t="shared" si="6"/>
        <v>0.6568047337278107</v>
      </c>
      <c r="AI12" s="75">
        <f t="shared" si="6"/>
        <v>0.8023255813953488</v>
      </c>
      <c r="AJ12" s="75">
        <f t="shared" si="6"/>
        <v>0.7110091743119266</v>
      </c>
      <c r="AK12" s="75">
        <f t="shared" si="6"/>
        <v>0.7610619469026548</v>
      </c>
      <c r="AL12" s="75">
        <f t="shared" si="6"/>
        <v>0.7652173913043478</v>
      </c>
      <c r="AM12" s="75">
        <f t="shared" si="6"/>
        <v>0.6228070175438597</v>
      </c>
      <c r="AN12" s="75">
        <f t="shared" si="6"/>
        <v>0.15463917525773196</v>
      </c>
      <c r="AO12" s="75">
        <f t="shared" si="6"/>
        <v>0.7107142857142857</v>
      </c>
      <c r="AP12" s="75">
        <f t="shared" si="6"/>
        <v>0.5447761194029851</v>
      </c>
      <c r="AQ12" s="75">
        <f t="shared" si="6"/>
        <v>0.6894409937888198</v>
      </c>
      <c r="AR12" s="75">
        <f t="shared" si="6"/>
        <v>0.7142857142857143</v>
      </c>
      <c r="AS12" s="75">
        <f t="shared" si="6"/>
        <v>0.8077858880778589</v>
      </c>
      <c r="AT12" s="75">
        <f t="shared" si="6"/>
        <v>0.7235023041474654</v>
      </c>
      <c r="AU12" s="75">
        <f t="shared" si="6"/>
        <v>0.7868217054263565</v>
      </c>
      <c r="AV12" s="75">
        <f t="shared" si="6"/>
        <v>0.6237113402061856</v>
      </c>
      <c r="AW12" s="75">
        <f t="shared" si="6"/>
        <v>0.7808219178082192</v>
      </c>
      <c r="AX12" s="87">
        <v>0.69</v>
      </c>
      <c r="AY12" s="87">
        <v>0.69</v>
      </c>
      <c r="AZ12" s="87">
        <v>0.69</v>
      </c>
      <c r="BA12" s="87">
        <v>0.69</v>
      </c>
      <c r="BB12" s="87">
        <v>0.69</v>
      </c>
      <c r="BC12" s="87">
        <v>0.69</v>
      </c>
      <c r="BD12" s="87">
        <v>0.69</v>
      </c>
      <c r="BE12" s="87">
        <v>0.69</v>
      </c>
      <c r="BF12" s="87">
        <v>0.69</v>
      </c>
      <c r="BG12" s="87">
        <v>0.69</v>
      </c>
      <c r="BH12" s="87">
        <v>0.69</v>
      </c>
      <c r="BI12" s="87">
        <v>0.69</v>
      </c>
    </row>
    <row r="13" spans="1:28" ht="12.75">
      <c r="A13" s="10"/>
      <c r="AB13" s="5"/>
    </row>
    <row r="14" spans="1:61" ht="12.75">
      <c r="A14" s="73" t="s">
        <v>156</v>
      </c>
      <c r="B14" s="9">
        <v>9000</v>
      </c>
      <c r="C14" s="9">
        <v>11000</v>
      </c>
      <c r="D14" s="9">
        <v>9000</v>
      </c>
      <c r="E14" s="9">
        <v>31000</v>
      </c>
      <c r="F14" s="9">
        <v>37000</v>
      </c>
      <c r="G14" s="9">
        <v>48000</v>
      </c>
      <c r="H14" s="9">
        <v>38000</v>
      </c>
      <c r="I14" s="9">
        <v>42000</v>
      </c>
      <c r="J14" s="9">
        <v>59000</v>
      </c>
      <c r="K14" s="9">
        <v>91000</v>
      </c>
      <c r="L14" s="9">
        <v>52000</v>
      </c>
      <c r="M14" s="9">
        <v>41000</v>
      </c>
      <c r="N14" s="9">
        <v>35000</v>
      </c>
      <c r="O14" s="9">
        <v>14000</v>
      </c>
      <c r="P14" s="9">
        <v>12000</v>
      </c>
      <c r="Q14" s="9">
        <v>40000</v>
      </c>
      <c r="R14" s="9">
        <v>64000</v>
      </c>
      <c r="S14" s="9">
        <v>53000</v>
      </c>
      <c r="T14" s="9">
        <v>58000</v>
      </c>
      <c r="U14" s="9">
        <v>58000</v>
      </c>
      <c r="V14" s="9">
        <v>60000</v>
      </c>
      <c r="W14" s="9">
        <v>35000</v>
      </c>
      <c r="X14" s="9">
        <v>26000</v>
      </c>
      <c r="Y14" s="9">
        <v>23000</v>
      </c>
      <c r="Z14" s="9">
        <v>53000</v>
      </c>
      <c r="AA14" s="9">
        <v>27000</v>
      </c>
      <c r="AB14" s="9">
        <v>15000</v>
      </c>
      <c r="AC14" s="9">
        <v>69000</v>
      </c>
      <c r="AD14" s="9">
        <v>62000</v>
      </c>
      <c r="AE14" s="9">
        <v>56000</v>
      </c>
      <c r="AF14" s="9">
        <v>59000</v>
      </c>
      <c r="AG14" s="9">
        <v>84000</v>
      </c>
      <c r="AH14" s="9">
        <v>45000</v>
      </c>
      <c r="AI14" s="9">
        <v>45000</v>
      </c>
      <c r="AJ14" s="9">
        <v>29000</v>
      </c>
      <c r="AK14" s="9">
        <v>13000</v>
      </c>
      <c r="AL14" s="9">
        <v>18000</v>
      </c>
      <c r="AM14" s="9">
        <v>29000</v>
      </c>
      <c r="AN14" s="9">
        <v>22000</v>
      </c>
      <c r="AO14" s="9">
        <v>46000</v>
      </c>
      <c r="AP14" s="9">
        <v>57000</v>
      </c>
      <c r="AQ14" s="9">
        <v>53000</v>
      </c>
      <c r="AR14" s="9">
        <v>45000</v>
      </c>
      <c r="AS14" s="9">
        <v>67000</v>
      </c>
      <c r="AT14" s="9">
        <v>41000</v>
      </c>
      <c r="AU14" s="9">
        <v>34000</v>
      </c>
      <c r="AV14" s="9">
        <v>23000</v>
      </c>
      <c r="AW14" s="9">
        <v>22000</v>
      </c>
      <c r="AX14" s="27">
        <f>AX11/AX15</f>
        <v>41075.294117647056</v>
      </c>
      <c r="AY14" s="27">
        <f aca="true" t="shared" si="7" ref="AY14:BI14">AY11/AY15</f>
        <v>20359.058823529413</v>
      </c>
      <c r="AZ14" s="27">
        <f t="shared" si="7"/>
        <v>17323.058823529413</v>
      </c>
      <c r="BA14" s="27">
        <f t="shared" si="7"/>
        <v>50004.70588235294</v>
      </c>
      <c r="BB14" s="27">
        <f t="shared" si="7"/>
        <v>47861.647058823524</v>
      </c>
      <c r="BC14" s="27">
        <f t="shared" si="7"/>
        <v>57505.411764705874</v>
      </c>
      <c r="BD14" s="27">
        <f t="shared" si="7"/>
        <v>47504.47058823529</v>
      </c>
      <c r="BE14" s="27">
        <f t="shared" si="7"/>
        <v>73399.76470588235</v>
      </c>
      <c r="BF14" s="27">
        <f t="shared" si="7"/>
        <v>38753.64705882353</v>
      </c>
      <c r="BG14" s="27">
        <f t="shared" si="7"/>
        <v>46075.76470588235</v>
      </c>
      <c r="BH14" s="27">
        <f t="shared" si="7"/>
        <v>34646.117647058825</v>
      </c>
      <c r="BI14" s="27">
        <f t="shared" si="7"/>
        <v>26073.882352941175</v>
      </c>
    </row>
    <row r="15" spans="1:61" s="76" customFormat="1" ht="12.75">
      <c r="A15" s="78" t="s">
        <v>158</v>
      </c>
      <c r="B15" s="79">
        <f>B11/B14</f>
        <v>12.222222222222221</v>
      </c>
      <c r="C15" s="79">
        <f aca="true" t="shared" si="8" ref="C15:AW15">C11/C14</f>
        <v>7.363636363636363</v>
      </c>
      <c r="D15" s="79">
        <f t="shared" si="8"/>
        <v>-3.2222222222222223</v>
      </c>
      <c r="E15" s="79">
        <f t="shared" si="8"/>
        <v>3.4516129032258065</v>
      </c>
      <c r="F15" s="79">
        <f t="shared" si="8"/>
        <v>4.027027027027027</v>
      </c>
      <c r="G15" s="79">
        <f t="shared" si="8"/>
        <v>1.625</v>
      </c>
      <c r="H15" s="79">
        <f t="shared" si="8"/>
        <v>7.421052631578948</v>
      </c>
      <c r="I15" s="79">
        <f t="shared" si="8"/>
        <v>2.238095238095238</v>
      </c>
      <c r="J15" s="79">
        <f t="shared" si="8"/>
        <v>3.9491525423728815</v>
      </c>
      <c r="K15" s="79">
        <f t="shared" si="8"/>
        <v>2.197802197802198</v>
      </c>
      <c r="L15" s="79">
        <f t="shared" si="8"/>
        <v>0.21153846153846154</v>
      </c>
      <c r="M15" s="79">
        <f t="shared" si="8"/>
        <v>7.146341463414634</v>
      </c>
      <c r="N15" s="79">
        <f t="shared" si="8"/>
        <v>3.7714285714285714</v>
      </c>
      <c r="O15" s="79">
        <f t="shared" si="8"/>
        <v>5.5</v>
      </c>
      <c r="P15" s="79">
        <f t="shared" si="8"/>
        <v>8.416666666666666</v>
      </c>
      <c r="Q15" s="79">
        <f t="shared" si="8"/>
        <v>3.125</v>
      </c>
      <c r="R15" s="79">
        <f t="shared" si="8"/>
        <v>3.25</v>
      </c>
      <c r="S15" s="79">
        <f t="shared" si="8"/>
        <v>5.2075471698113205</v>
      </c>
      <c r="T15" s="79">
        <f t="shared" si="8"/>
        <v>2.8275862068965516</v>
      </c>
      <c r="U15" s="79">
        <f t="shared" si="8"/>
        <v>2.9310344827586206</v>
      </c>
      <c r="V15" s="79">
        <f t="shared" si="8"/>
        <v>2.716666666666667</v>
      </c>
      <c r="W15" s="79">
        <f t="shared" si="8"/>
        <v>5.571428571428571</v>
      </c>
      <c r="X15" s="79">
        <f t="shared" si="8"/>
        <v>4.769230769230769</v>
      </c>
      <c r="Y15" s="79">
        <f t="shared" si="8"/>
        <v>6.217391304347826</v>
      </c>
      <c r="Z15" s="79">
        <f t="shared" si="8"/>
        <v>8.962264150943396</v>
      </c>
      <c r="AA15" s="79">
        <f t="shared" si="8"/>
        <v>3.925925925925926</v>
      </c>
      <c r="AB15" s="79">
        <f t="shared" si="8"/>
        <v>-9.533333333333333</v>
      </c>
      <c r="AC15" s="79">
        <f t="shared" si="8"/>
        <v>2.7971014492753623</v>
      </c>
      <c r="AD15" s="79">
        <f t="shared" si="8"/>
        <v>3.2903225806451615</v>
      </c>
      <c r="AE15" s="79">
        <f t="shared" si="8"/>
        <v>4.535714285714286</v>
      </c>
      <c r="AF15" s="79">
        <f t="shared" si="8"/>
        <v>3.2203389830508473</v>
      </c>
      <c r="AG15" s="79">
        <f t="shared" si="8"/>
        <v>2.7023809523809526</v>
      </c>
      <c r="AH15" s="79">
        <f t="shared" si="8"/>
        <v>2.466666666666667</v>
      </c>
      <c r="AI15" s="79">
        <f t="shared" si="8"/>
        <v>6.133333333333334</v>
      </c>
      <c r="AJ15" s="79">
        <f t="shared" si="8"/>
        <v>5.344827586206897</v>
      </c>
      <c r="AK15" s="79">
        <f t="shared" si="8"/>
        <v>6.615384615384615</v>
      </c>
      <c r="AL15" s="79">
        <f t="shared" si="8"/>
        <v>9.777777777777779</v>
      </c>
      <c r="AM15" s="79">
        <f t="shared" si="8"/>
        <v>2.4482758620689653</v>
      </c>
      <c r="AN15" s="79">
        <f t="shared" si="8"/>
        <v>0.6818181818181818</v>
      </c>
      <c r="AO15" s="79">
        <f t="shared" si="8"/>
        <v>4.326086956521739</v>
      </c>
      <c r="AP15" s="79">
        <f t="shared" si="8"/>
        <v>2.56140350877193</v>
      </c>
      <c r="AQ15" s="79">
        <f t="shared" si="8"/>
        <v>4.188679245283019</v>
      </c>
      <c r="AR15" s="79">
        <f t="shared" si="8"/>
        <v>4.222222222222222</v>
      </c>
      <c r="AS15" s="79">
        <f t="shared" si="8"/>
        <v>4.955223880597015</v>
      </c>
      <c r="AT15" s="79">
        <f t="shared" si="8"/>
        <v>3.8292682926829267</v>
      </c>
      <c r="AU15" s="79">
        <f t="shared" si="8"/>
        <v>5.970588235294118</v>
      </c>
      <c r="AV15" s="79">
        <f t="shared" si="8"/>
        <v>5.260869565217392</v>
      </c>
      <c r="AW15" s="79">
        <f t="shared" si="8"/>
        <v>5.181818181818182</v>
      </c>
      <c r="AX15" s="89">
        <v>4.25</v>
      </c>
      <c r="AY15" s="89">
        <v>4.25</v>
      </c>
      <c r="AZ15" s="89">
        <v>4.25</v>
      </c>
      <c r="BA15" s="89">
        <v>4.25</v>
      </c>
      <c r="BB15" s="89">
        <v>4.25</v>
      </c>
      <c r="BC15" s="89">
        <v>4.25</v>
      </c>
      <c r="BD15" s="89">
        <v>4.25</v>
      </c>
      <c r="BE15" s="89">
        <v>4.25</v>
      </c>
      <c r="BF15" s="89">
        <v>4.25</v>
      </c>
      <c r="BG15" s="89">
        <v>4.25</v>
      </c>
      <c r="BH15" s="89">
        <v>4.25</v>
      </c>
      <c r="BI15" s="89">
        <v>4.25</v>
      </c>
    </row>
    <row r="16" spans="1:61" ht="12.75">
      <c r="A16" s="10"/>
      <c r="AB16" s="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</row>
    <row r="17" spans="1:61" ht="12.75">
      <c r="A17" s="10" t="s">
        <v>201</v>
      </c>
      <c r="B17" s="9">
        <f>B11-B14</f>
        <v>101000</v>
      </c>
      <c r="C17" s="9">
        <f aca="true" t="shared" si="9" ref="C17:BI17">C11-C14</f>
        <v>70000</v>
      </c>
      <c r="D17" s="9">
        <f t="shared" si="9"/>
        <v>-38000</v>
      </c>
      <c r="E17" s="9">
        <f t="shared" si="9"/>
        <v>76000</v>
      </c>
      <c r="F17" s="9">
        <f t="shared" si="9"/>
        <v>112000</v>
      </c>
      <c r="G17" s="9">
        <f t="shared" si="9"/>
        <v>30000</v>
      </c>
      <c r="H17" s="9">
        <f t="shared" si="9"/>
        <v>244000</v>
      </c>
      <c r="I17" s="9">
        <f t="shared" si="9"/>
        <v>52000</v>
      </c>
      <c r="J17" s="9">
        <f t="shared" si="9"/>
        <v>174000</v>
      </c>
      <c r="K17" s="9">
        <f t="shared" si="9"/>
        <v>109000</v>
      </c>
      <c r="L17" s="9">
        <f t="shared" si="9"/>
        <v>-41000</v>
      </c>
      <c r="M17" s="9">
        <f t="shared" si="9"/>
        <v>252000</v>
      </c>
      <c r="N17" s="9">
        <f t="shared" si="9"/>
        <v>97000</v>
      </c>
      <c r="O17" s="9">
        <f t="shared" si="9"/>
        <v>63000</v>
      </c>
      <c r="P17" s="9">
        <f t="shared" si="9"/>
        <v>89000</v>
      </c>
      <c r="Q17" s="9">
        <f t="shared" si="9"/>
        <v>85000</v>
      </c>
      <c r="R17" s="9">
        <f t="shared" si="9"/>
        <v>144000</v>
      </c>
      <c r="S17" s="9">
        <f t="shared" si="9"/>
        <v>223000</v>
      </c>
      <c r="T17" s="9">
        <f t="shared" si="9"/>
        <v>106000</v>
      </c>
      <c r="U17" s="9">
        <f t="shared" si="9"/>
        <v>112000</v>
      </c>
      <c r="V17" s="9">
        <f t="shared" si="9"/>
        <v>103000</v>
      </c>
      <c r="W17" s="9">
        <f t="shared" si="9"/>
        <v>160000</v>
      </c>
      <c r="X17" s="9">
        <f t="shared" si="9"/>
        <v>98000</v>
      </c>
      <c r="Y17" s="9">
        <f t="shared" si="9"/>
        <v>120000</v>
      </c>
      <c r="Z17" s="9">
        <f t="shared" si="9"/>
        <v>422000</v>
      </c>
      <c r="AA17" s="9">
        <f t="shared" si="9"/>
        <v>79000</v>
      </c>
      <c r="AB17" s="9">
        <f t="shared" si="9"/>
        <v>-158000</v>
      </c>
      <c r="AC17" s="9">
        <f t="shared" si="9"/>
        <v>124000</v>
      </c>
      <c r="AD17" s="9">
        <f t="shared" si="9"/>
        <v>142000</v>
      </c>
      <c r="AE17" s="9">
        <f t="shared" si="9"/>
        <v>198000</v>
      </c>
      <c r="AF17" s="9">
        <f t="shared" si="9"/>
        <v>131000</v>
      </c>
      <c r="AG17" s="9">
        <f t="shared" si="9"/>
        <v>143000</v>
      </c>
      <c r="AH17" s="9">
        <f t="shared" si="9"/>
        <v>66000</v>
      </c>
      <c r="AI17" s="9">
        <f t="shared" si="9"/>
        <v>231000</v>
      </c>
      <c r="AJ17" s="9">
        <f t="shared" si="9"/>
        <v>126000</v>
      </c>
      <c r="AK17" s="9">
        <f t="shared" si="9"/>
        <v>73000</v>
      </c>
      <c r="AL17" s="9">
        <f t="shared" si="9"/>
        <v>158000</v>
      </c>
      <c r="AM17" s="9">
        <f t="shared" si="9"/>
        <v>42000</v>
      </c>
      <c r="AN17" s="9">
        <f t="shared" si="9"/>
        <v>-7000</v>
      </c>
      <c r="AO17" s="9">
        <f t="shared" si="9"/>
        <v>153000</v>
      </c>
      <c r="AP17" s="9">
        <f t="shared" si="9"/>
        <v>89000</v>
      </c>
      <c r="AQ17" s="9">
        <f t="shared" si="9"/>
        <v>169000</v>
      </c>
      <c r="AR17" s="9">
        <f t="shared" si="9"/>
        <v>145000</v>
      </c>
      <c r="AS17" s="9">
        <f t="shared" si="9"/>
        <v>265000</v>
      </c>
      <c r="AT17" s="9">
        <f t="shared" si="9"/>
        <v>116000</v>
      </c>
      <c r="AU17" s="9">
        <f t="shared" si="9"/>
        <v>169000</v>
      </c>
      <c r="AV17" s="9">
        <f t="shared" si="9"/>
        <v>98000</v>
      </c>
      <c r="AW17" s="9">
        <f t="shared" si="9"/>
        <v>92000</v>
      </c>
      <c r="AX17" s="9">
        <f t="shared" si="9"/>
        <v>133494.70588235295</v>
      </c>
      <c r="AY17" s="9">
        <f t="shared" si="9"/>
        <v>66166.94117647059</v>
      </c>
      <c r="AZ17" s="9">
        <f t="shared" si="9"/>
        <v>56299.94117647059</v>
      </c>
      <c r="BA17" s="9">
        <f t="shared" si="9"/>
        <v>162515.29411764705</v>
      </c>
      <c r="BB17" s="9">
        <f t="shared" si="9"/>
        <v>155550.35294117645</v>
      </c>
      <c r="BC17" s="9">
        <f t="shared" si="9"/>
        <v>186892.5882352941</v>
      </c>
      <c r="BD17" s="9">
        <f t="shared" si="9"/>
        <v>154389.5294117647</v>
      </c>
      <c r="BE17" s="9">
        <f t="shared" si="9"/>
        <v>238549.23529411765</v>
      </c>
      <c r="BF17" s="9">
        <f t="shared" si="9"/>
        <v>125949.35294117648</v>
      </c>
      <c r="BG17" s="9">
        <f t="shared" si="9"/>
        <v>149746.23529411762</v>
      </c>
      <c r="BH17" s="9">
        <f t="shared" si="9"/>
        <v>112599.88235294117</v>
      </c>
      <c r="BI17" s="9">
        <f t="shared" si="9"/>
        <v>84740.11764705881</v>
      </c>
    </row>
    <row r="18" spans="1:61" ht="12.75">
      <c r="A18" s="10"/>
      <c r="B18" s="74">
        <f>B17/B7</f>
        <v>0.6733333333333333</v>
      </c>
      <c r="C18" s="74">
        <f aca="true" t="shared" si="10" ref="C18:BI18">C17/C7</f>
        <v>0.5555555555555556</v>
      </c>
      <c r="D18" s="74">
        <f t="shared" si="10"/>
        <v>-0.6551724137931034</v>
      </c>
      <c r="E18" s="74">
        <f t="shared" si="10"/>
        <v>0.4810126582278481</v>
      </c>
      <c r="F18" s="74">
        <f t="shared" si="10"/>
        <v>0.42748091603053434</v>
      </c>
      <c r="G18" s="74">
        <f t="shared" si="10"/>
        <v>0.16759776536312848</v>
      </c>
      <c r="H18" s="74">
        <f t="shared" si="10"/>
        <v>0.6455026455026455</v>
      </c>
      <c r="I18" s="74">
        <f t="shared" si="10"/>
        <v>0.2810810810810811</v>
      </c>
      <c r="J18" s="74">
        <f t="shared" si="10"/>
        <v>0.5194029850746269</v>
      </c>
      <c r="K18" s="74">
        <f t="shared" si="10"/>
        <v>0.3978102189781022</v>
      </c>
      <c r="L18" s="74">
        <f t="shared" si="10"/>
        <v>-0.3333333333333333</v>
      </c>
      <c r="M18" s="74">
        <f t="shared" si="10"/>
        <v>0.8811188811188811</v>
      </c>
      <c r="N18" s="74">
        <f t="shared" si="10"/>
        <v>0.44907407407407407</v>
      </c>
      <c r="O18" s="74">
        <f t="shared" si="10"/>
        <v>0.5779816513761468</v>
      </c>
      <c r="P18" s="74">
        <f t="shared" si="10"/>
        <v>0.6592592592592592</v>
      </c>
      <c r="Q18" s="74">
        <f t="shared" si="10"/>
        <v>0.4028436018957346</v>
      </c>
      <c r="R18" s="74">
        <f t="shared" si="10"/>
        <v>0.4752475247524752</v>
      </c>
      <c r="S18" s="74">
        <f t="shared" si="10"/>
        <v>0.5762273901808785</v>
      </c>
      <c r="T18" s="74">
        <f t="shared" si="10"/>
        <v>0.38405797101449274</v>
      </c>
      <c r="U18" s="74">
        <f t="shared" si="10"/>
        <v>0.4357976653696498</v>
      </c>
      <c r="V18" s="74">
        <f t="shared" si="10"/>
        <v>0.42916666666666664</v>
      </c>
      <c r="W18" s="74">
        <f t="shared" si="10"/>
        <v>0.5673758865248227</v>
      </c>
      <c r="X18" s="74">
        <f t="shared" si="10"/>
        <v>0.5536723163841808</v>
      </c>
      <c r="Y18" s="74">
        <f t="shared" si="10"/>
        <v>0.6</v>
      </c>
      <c r="Z18" s="74">
        <f t="shared" si="10"/>
        <v>0.7672727272727272</v>
      </c>
      <c r="AA18" s="74">
        <f t="shared" si="10"/>
        <v>0.4906832298136646</v>
      </c>
      <c r="AB18" s="74">
        <f t="shared" si="10"/>
        <v>-2.7241379310344827</v>
      </c>
      <c r="AC18" s="74">
        <f t="shared" si="10"/>
        <v>0.3924050632911392</v>
      </c>
      <c r="AD18" s="74">
        <f t="shared" si="10"/>
        <v>0.4329268292682927</v>
      </c>
      <c r="AE18" s="74">
        <f t="shared" si="10"/>
        <v>0.5294117647058824</v>
      </c>
      <c r="AF18" s="74">
        <f t="shared" si="10"/>
        <v>0.45017182130584193</v>
      </c>
      <c r="AG18" s="74">
        <f t="shared" si="10"/>
        <v>0.4750830564784053</v>
      </c>
      <c r="AH18" s="74">
        <f t="shared" si="10"/>
        <v>0.3905325443786982</v>
      </c>
      <c r="AI18" s="74">
        <f t="shared" si="10"/>
        <v>0.6715116279069767</v>
      </c>
      <c r="AJ18" s="74">
        <f t="shared" si="10"/>
        <v>0.5779816513761468</v>
      </c>
      <c r="AK18" s="74">
        <f t="shared" si="10"/>
        <v>0.6460176991150443</v>
      </c>
      <c r="AL18" s="74">
        <f t="shared" si="10"/>
        <v>0.6869565217391305</v>
      </c>
      <c r="AM18" s="74">
        <f t="shared" si="10"/>
        <v>0.3684210526315789</v>
      </c>
      <c r="AN18" s="74">
        <f t="shared" si="10"/>
        <v>-0.07216494845360824</v>
      </c>
      <c r="AO18" s="74">
        <f t="shared" si="10"/>
        <v>0.5464285714285714</v>
      </c>
      <c r="AP18" s="74">
        <f t="shared" si="10"/>
        <v>0.332089552238806</v>
      </c>
      <c r="AQ18" s="74">
        <f t="shared" si="10"/>
        <v>0.5248447204968945</v>
      </c>
      <c r="AR18" s="74">
        <f t="shared" si="10"/>
        <v>0.5451127819548872</v>
      </c>
      <c r="AS18" s="74">
        <f t="shared" si="10"/>
        <v>0.6447688564476886</v>
      </c>
      <c r="AT18" s="74">
        <f t="shared" si="10"/>
        <v>0.5345622119815668</v>
      </c>
      <c r="AU18" s="74">
        <f t="shared" si="10"/>
        <v>0.6550387596899225</v>
      </c>
      <c r="AV18" s="74">
        <f t="shared" si="10"/>
        <v>0.5051546391752577</v>
      </c>
      <c r="AW18" s="74">
        <f t="shared" si="10"/>
        <v>0.6301369863013698</v>
      </c>
      <c r="AX18" s="74">
        <f t="shared" si="10"/>
        <v>0.5276470588235294</v>
      </c>
      <c r="AY18" s="74">
        <f t="shared" si="10"/>
        <v>0.5276470588235294</v>
      </c>
      <c r="AZ18" s="74">
        <f t="shared" si="10"/>
        <v>0.5276470588235294</v>
      </c>
      <c r="BA18" s="74">
        <f t="shared" si="10"/>
        <v>0.5276470588235294</v>
      </c>
      <c r="BB18" s="74">
        <f t="shared" si="10"/>
        <v>0.5276470588235294</v>
      </c>
      <c r="BC18" s="74">
        <f t="shared" si="10"/>
        <v>0.5276470588235294</v>
      </c>
      <c r="BD18" s="74">
        <f t="shared" si="10"/>
        <v>0.5276470588235294</v>
      </c>
      <c r="BE18" s="74">
        <f t="shared" si="10"/>
        <v>0.5276470588235294</v>
      </c>
      <c r="BF18" s="74">
        <f t="shared" si="10"/>
        <v>0.5276470588235294</v>
      </c>
      <c r="BG18" s="74">
        <f t="shared" si="10"/>
        <v>0.5276470588235294</v>
      </c>
      <c r="BH18" s="74">
        <f t="shared" si="10"/>
        <v>0.5276470588235294</v>
      </c>
      <c r="BI18" s="74">
        <f t="shared" si="10"/>
        <v>0.5276470588235294</v>
      </c>
    </row>
    <row r="19" ht="12.75">
      <c r="A19" s="7" t="s">
        <v>80</v>
      </c>
    </row>
    <row r="20" spans="1:61" ht="12.75">
      <c r="A20" s="8" t="s">
        <v>81</v>
      </c>
      <c r="B20" s="5">
        <v>29000</v>
      </c>
      <c r="C20" s="5">
        <v>21000</v>
      </c>
      <c r="D20" s="5">
        <v>0</v>
      </c>
      <c r="E20" s="5">
        <v>10000</v>
      </c>
      <c r="F20" s="5">
        <v>20000</v>
      </c>
      <c r="G20" s="5">
        <v>17000</v>
      </c>
      <c r="H20" s="5">
        <v>20000</v>
      </c>
      <c r="I20" s="5">
        <v>9000</v>
      </c>
      <c r="J20" s="5">
        <v>16000</v>
      </c>
      <c r="K20" s="5">
        <v>21000</v>
      </c>
      <c r="L20" s="5">
        <v>6000</v>
      </c>
      <c r="M20" s="5">
        <v>44000</v>
      </c>
      <c r="N20" s="5">
        <v>34000</v>
      </c>
      <c r="O20" s="5">
        <v>37000</v>
      </c>
      <c r="P20" s="5">
        <v>25000</v>
      </c>
      <c r="Q20" s="5">
        <v>9000</v>
      </c>
      <c r="R20" s="5">
        <v>19000</v>
      </c>
      <c r="S20" s="5">
        <v>47000</v>
      </c>
      <c r="T20" s="5">
        <v>15000</v>
      </c>
      <c r="U20" s="5">
        <v>9000</v>
      </c>
      <c r="V20" s="5">
        <v>26000</v>
      </c>
      <c r="W20" s="5">
        <v>15000</v>
      </c>
      <c r="X20" s="5">
        <v>10000</v>
      </c>
      <c r="Y20" s="5">
        <v>67000</v>
      </c>
      <c r="Z20" s="5">
        <v>179000</v>
      </c>
      <c r="AA20" s="5">
        <v>26000</v>
      </c>
      <c r="AB20" s="5">
        <v>0</v>
      </c>
      <c r="AC20" s="5">
        <v>7000</v>
      </c>
      <c r="AD20" s="5">
        <v>22000</v>
      </c>
      <c r="AE20" s="5">
        <v>20000</v>
      </c>
      <c r="AF20" s="5">
        <v>28000</v>
      </c>
      <c r="AG20" s="5">
        <v>22000</v>
      </c>
      <c r="AH20" s="5">
        <v>16000</v>
      </c>
      <c r="AI20" s="5">
        <v>16000</v>
      </c>
      <c r="AJ20" s="5">
        <v>29000</v>
      </c>
      <c r="AK20" s="5">
        <v>9000</v>
      </c>
      <c r="AL20" s="5">
        <v>46000</v>
      </c>
      <c r="AM20" s="5">
        <v>22000</v>
      </c>
      <c r="AN20" s="5">
        <v>3000</v>
      </c>
      <c r="AO20" s="5">
        <v>0</v>
      </c>
      <c r="AP20" s="5">
        <v>29000</v>
      </c>
      <c r="AQ20" s="5">
        <v>33000</v>
      </c>
      <c r="AR20" s="5">
        <v>35000</v>
      </c>
      <c r="AS20" s="5">
        <v>42000</v>
      </c>
      <c r="AT20" s="5">
        <v>49000</v>
      </c>
      <c r="AU20" s="5">
        <v>37000</v>
      </c>
      <c r="AV20" s="5">
        <v>8000</v>
      </c>
      <c r="AW20" s="5">
        <v>19000</v>
      </c>
      <c r="AX20" s="91">
        <f aca="true" t="shared" si="11" ref="AX20:BI24">AVERAGE(AM20:AW20)</f>
        <v>25181.81818181818</v>
      </c>
      <c r="AY20" s="91">
        <f t="shared" si="11"/>
        <v>25471.07438016529</v>
      </c>
      <c r="AZ20" s="91">
        <f t="shared" si="11"/>
        <v>27513.89932381668</v>
      </c>
      <c r="BA20" s="91">
        <f t="shared" si="11"/>
        <v>30015.16289870911</v>
      </c>
      <c r="BB20" s="91">
        <f t="shared" si="11"/>
        <v>30107.450434955394</v>
      </c>
      <c r="BC20" s="91">
        <f t="shared" si="11"/>
        <v>29844.491383587698</v>
      </c>
      <c r="BD20" s="91">
        <f t="shared" si="11"/>
        <v>29375.80878209567</v>
      </c>
      <c r="BE20" s="91">
        <f t="shared" si="11"/>
        <v>28228.155035013453</v>
      </c>
      <c r="BF20" s="91">
        <f t="shared" si="11"/>
        <v>26339.805492741954</v>
      </c>
      <c r="BG20" s="91">
        <f t="shared" si="11"/>
        <v>25370.69690117304</v>
      </c>
      <c r="BH20" s="91">
        <f t="shared" si="11"/>
        <v>26949.851164916043</v>
      </c>
      <c r="BI20" s="91">
        <f t="shared" si="11"/>
        <v>27672.56490718114</v>
      </c>
    </row>
    <row r="21" spans="1:61" ht="12.75">
      <c r="A21" s="8" t="s">
        <v>99</v>
      </c>
      <c r="B21" s="5">
        <v>4500</v>
      </c>
      <c r="C21" s="5">
        <v>1500</v>
      </c>
      <c r="D21" s="5">
        <v>2500</v>
      </c>
      <c r="E21" s="5">
        <v>2500</v>
      </c>
      <c r="F21" s="5">
        <v>500</v>
      </c>
      <c r="G21" s="5">
        <v>1500</v>
      </c>
      <c r="H21" s="5">
        <v>2500</v>
      </c>
      <c r="I21" s="5">
        <v>3500</v>
      </c>
      <c r="J21" s="5">
        <v>2500</v>
      </c>
      <c r="K21" s="5">
        <v>1500</v>
      </c>
      <c r="L21" s="5">
        <v>500</v>
      </c>
      <c r="M21" s="5">
        <v>33500</v>
      </c>
      <c r="N21" s="5">
        <v>6500</v>
      </c>
      <c r="O21" s="5">
        <v>9500</v>
      </c>
      <c r="P21" s="5">
        <v>5500</v>
      </c>
      <c r="Q21" s="5">
        <v>8500</v>
      </c>
      <c r="R21" s="5">
        <v>4500</v>
      </c>
      <c r="S21" s="5">
        <v>7500</v>
      </c>
      <c r="T21" s="5">
        <v>2500</v>
      </c>
      <c r="U21" s="5">
        <v>10500</v>
      </c>
      <c r="V21" s="5">
        <v>4500</v>
      </c>
      <c r="W21" s="5">
        <v>4500</v>
      </c>
      <c r="X21" s="5">
        <v>4500</v>
      </c>
      <c r="Y21" s="5">
        <v>4500</v>
      </c>
      <c r="Z21" s="5">
        <v>5500</v>
      </c>
      <c r="AA21" s="5">
        <v>12500</v>
      </c>
      <c r="AB21" s="5">
        <v>7500</v>
      </c>
      <c r="AC21" s="5">
        <v>7500</v>
      </c>
      <c r="AD21" s="5">
        <v>4500</v>
      </c>
      <c r="AE21" s="5">
        <v>2500</v>
      </c>
      <c r="AF21" s="5">
        <v>6500</v>
      </c>
      <c r="AG21" s="5">
        <v>6500</v>
      </c>
      <c r="AH21" s="5">
        <v>4500</v>
      </c>
      <c r="AI21" s="5">
        <v>5500</v>
      </c>
      <c r="AJ21" s="5">
        <v>4500</v>
      </c>
      <c r="AK21" s="5">
        <v>4500</v>
      </c>
      <c r="AL21" s="5">
        <v>5500</v>
      </c>
      <c r="AM21" s="5">
        <v>6500</v>
      </c>
      <c r="AN21" s="5">
        <v>9500</v>
      </c>
      <c r="AO21" s="5">
        <v>5500</v>
      </c>
      <c r="AP21" s="5">
        <v>8500</v>
      </c>
      <c r="AQ21" s="5">
        <v>3500</v>
      </c>
      <c r="AR21" s="5">
        <v>4500</v>
      </c>
      <c r="AS21" s="5">
        <v>5500</v>
      </c>
      <c r="AT21" s="5">
        <v>4500</v>
      </c>
      <c r="AU21" s="5">
        <v>7500</v>
      </c>
      <c r="AV21" s="5">
        <v>4500</v>
      </c>
      <c r="AW21" s="5">
        <v>3500</v>
      </c>
      <c r="AX21" s="91">
        <f>AX7*AX55</f>
        <v>8855.000000000002</v>
      </c>
      <c r="AY21" s="91">
        <f t="shared" si="11"/>
        <v>5986.818181818182</v>
      </c>
      <c r="AZ21" s="91">
        <f t="shared" si="11"/>
        <v>5667.438016528926</v>
      </c>
      <c r="BA21" s="91">
        <f t="shared" si="11"/>
        <v>5682.659654395192</v>
      </c>
      <c r="BB21" s="91">
        <f t="shared" si="11"/>
        <v>5426.537804794754</v>
      </c>
      <c r="BC21" s="91">
        <f t="shared" si="11"/>
        <v>5601.677605230641</v>
      </c>
      <c r="BD21" s="91">
        <f t="shared" si="11"/>
        <v>5701.830114797063</v>
      </c>
      <c r="BE21" s="91">
        <f t="shared" si="11"/>
        <v>5720.178307051342</v>
      </c>
      <c r="BF21" s="91">
        <f t="shared" si="11"/>
        <v>5831.103607692373</v>
      </c>
      <c r="BG21" s="91">
        <f t="shared" si="11"/>
        <v>5679.385753846224</v>
      </c>
      <c r="BH21" s="91">
        <f t="shared" si="11"/>
        <v>5786.602640559518</v>
      </c>
      <c r="BI21" s="91">
        <f t="shared" si="11"/>
        <v>5994.47560788311</v>
      </c>
    </row>
    <row r="22" spans="1:61" ht="12.75">
      <c r="A22" s="8" t="s">
        <v>162</v>
      </c>
      <c r="B22" s="5">
        <v>30000</v>
      </c>
      <c r="C22" s="5">
        <v>32000</v>
      </c>
      <c r="D22" s="5">
        <v>30000</v>
      </c>
      <c r="E22" s="5">
        <v>52000</v>
      </c>
      <c r="F22" s="5">
        <v>37000</v>
      </c>
      <c r="G22" s="5">
        <v>37000</v>
      </c>
      <c r="H22" s="5">
        <v>37000</v>
      </c>
      <c r="I22" s="5">
        <v>37000</v>
      </c>
      <c r="J22" s="5">
        <v>18000</v>
      </c>
      <c r="K22" s="5">
        <v>26000</v>
      </c>
      <c r="L22" s="5">
        <v>16000</v>
      </c>
      <c r="M22" s="5">
        <v>10000</v>
      </c>
      <c r="N22" s="5">
        <v>27000</v>
      </c>
      <c r="O22" s="5">
        <v>48000</v>
      </c>
      <c r="P22" s="5">
        <v>53000</v>
      </c>
      <c r="Q22" s="5">
        <v>69000</v>
      </c>
      <c r="R22" s="5">
        <v>40000</v>
      </c>
      <c r="S22" s="5">
        <v>44000</v>
      </c>
      <c r="T22" s="5">
        <v>45000</v>
      </c>
      <c r="U22" s="5">
        <v>45000</v>
      </c>
      <c r="V22" s="5">
        <v>55000</v>
      </c>
      <c r="W22" s="5">
        <v>42000</v>
      </c>
      <c r="X22" s="5">
        <v>36000</v>
      </c>
      <c r="Y22" s="5">
        <v>44000</v>
      </c>
      <c r="Z22" s="5">
        <v>32000</v>
      </c>
      <c r="AA22" s="5">
        <v>32000</v>
      </c>
      <c r="AB22" s="5">
        <v>44000</v>
      </c>
      <c r="AC22" s="5">
        <v>32000</v>
      </c>
      <c r="AD22" s="5">
        <v>31000</v>
      </c>
      <c r="AE22" s="5">
        <v>30000</v>
      </c>
      <c r="AF22" s="5">
        <v>30000</v>
      </c>
      <c r="AG22" s="5">
        <v>45000</v>
      </c>
      <c r="AH22" s="5">
        <v>32000</v>
      </c>
      <c r="AI22" s="5">
        <v>34000</v>
      </c>
      <c r="AJ22" s="5">
        <v>31000</v>
      </c>
      <c r="AK22" s="5">
        <v>31000</v>
      </c>
      <c r="AL22" s="5">
        <v>28000</v>
      </c>
      <c r="AM22" s="5">
        <v>29000</v>
      </c>
      <c r="AN22" s="5">
        <v>48000</v>
      </c>
      <c r="AO22" s="5">
        <v>36000</v>
      </c>
      <c r="AP22" s="5">
        <v>34000</v>
      </c>
      <c r="AQ22" s="5">
        <v>34000</v>
      </c>
      <c r="AR22" s="5">
        <v>33000</v>
      </c>
      <c r="AS22" s="5">
        <v>49000</v>
      </c>
      <c r="AT22" s="5">
        <v>34000</v>
      </c>
      <c r="AU22" s="5">
        <v>33000</v>
      </c>
      <c r="AV22" s="5">
        <v>32000</v>
      </c>
      <c r="AW22" s="5">
        <v>30000</v>
      </c>
      <c r="AX22" s="91">
        <f>AX17/AX27</f>
        <v>38141.34453781513</v>
      </c>
      <c r="AY22" s="91">
        <f aca="true" t="shared" si="12" ref="AY22:BI22">AY17/AY27</f>
        <v>18904.840336134454</v>
      </c>
      <c r="AZ22" s="91">
        <f t="shared" si="12"/>
        <v>16085.697478991597</v>
      </c>
      <c r="BA22" s="91">
        <f t="shared" si="12"/>
        <v>46432.94117647059</v>
      </c>
      <c r="BB22" s="91">
        <f t="shared" si="12"/>
        <v>44442.95798319327</v>
      </c>
      <c r="BC22" s="91">
        <f t="shared" si="12"/>
        <v>53397.88235294117</v>
      </c>
      <c r="BD22" s="91">
        <f t="shared" si="12"/>
        <v>44111.294117647056</v>
      </c>
      <c r="BE22" s="91">
        <f t="shared" si="12"/>
        <v>68156.9243697479</v>
      </c>
      <c r="BF22" s="91">
        <f t="shared" si="12"/>
        <v>35985.529411764706</v>
      </c>
      <c r="BG22" s="91">
        <f t="shared" si="12"/>
        <v>42784.63865546218</v>
      </c>
      <c r="BH22" s="91">
        <f t="shared" si="12"/>
        <v>32171.394957983193</v>
      </c>
      <c r="BI22" s="91">
        <f t="shared" si="12"/>
        <v>24211.462184873944</v>
      </c>
    </row>
    <row r="23" spans="1:61" ht="12.75">
      <c r="A23" s="8" t="s">
        <v>111</v>
      </c>
      <c r="B23" s="5">
        <v>13000</v>
      </c>
      <c r="C23" s="5">
        <v>10000</v>
      </c>
      <c r="D23" s="5">
        <v>11000</v>
      </c>
      <c r="E23" s="5">
        <v>22000</v>
      </c>
      <c r="F23" s="5">
        <v>21000</v>
      </c>
      <c r="G23" s="5">
        <v>20000</v>
      </c>
      <c r="H23" s="5">
        <v>25000</v>
      </c>
      <c r="I23" s="5">
        <v>19000</v>
      </c>
      <c r="J23" s="5">
        <v>23000</v>
      </c>
      <c r="K23" s="5">
        <v>8000</v>
      </c>
      <c r="L23" s="5">
        <v>15000</v>
      </c>
      <c r="M23" s="5">
        <v>12000</v>
      </c>
      <c r="N23" s="5">
        <v>9000</v>
      </c>
      <c r="O23" s="5">
        <v>12000</v>
      </c>
      <c r="P23" s="5">
        <v>10000</v>
      </c>
      <c r="Q23" s="5">
        <v>19000</v>
      </c>
      <c r="R23" s="5">
        <v>19000</v>
      </c>
      <c r="S23" s="5">
        <v>20000</v>
      </c>
      <c r="T23" s="5">
        <v>20000</v>
      </c>
      <c r="U23" s="5">
        <v>24000</v>
      </c>
      <c r="V23" s="5">
        <v>21000</v>
      </c>
      <c r="W23" s="5">
        <v>21000</v>
      </c>
      <c r="X23" s="5">
        <v>15000</v>
      </c>
      <c r="Y23" s="5">
        <v>13000</v>
      </c>
      <c r="Z23" s="5">
        <v>18000</v>
      </c>
      <c r="AA23" s="5">
        <v>14000</v>
      </c>
      <c r="AB23" s="5">
        <v>14000</v>
      </c>
      <c r="AC23" s="5">
        <v>22000</v>
      </c>
      <c r="AD23" s="5">
        <v>20000</v>
      </c>
      <c r="AE23" s="5">
        <v>18000</v>
      </c>
      <c r="AF23" s="5">
        <v>17000</v>
      </c>
      <c r="AG23" s="5">
        <v>25000</v>
      </c>
      <c r="AH23" s="5">
        <v>19000</v>
      </c>
      <c r="AI23" s="5">
        <v>12000</v>
      </c>
      <c r="AJ23" s="5">
        <v>9000</v>
      </c>
      <c r="AK23" s="5">
        <v>8000</v>
      </c>
      <c r="AL23" s="5">
        <v>11000</v>
      </c>
      <c r="AM23" s="5">
        <v>13000</v>
      </c>
      <c r="AN23" s="5">
        <v>17000</v>
      </c>
      <c r="AO23" s="5">
        <v>17000</v>
      </c>
      <c r="AP23" s="5">
        <v>22000</v>
      </c>
      <c r="AQ23" s="5">
        <v>17000</v>
      </c>
      <c r="AR23" s="5">
        <v>15000</v>
      </c>
      <c r="AS23" s="5">
        <v>20000</v>
      </c>
      <c r="AT23" s="5">
        <v>15000</v>
      </c>
      <c r="AU23" s="5">
        <v>11000</v>
      </c>
      <c r="AV23" s="5">
        <v>9000</v>
      </c>
      <c r="AW23" s="5">
        <v>9000</v>
      </c>
      <c r="AX23" s="91">
        <f>(AX22+AX14)*AX56</f>
        <v>15843.327731092439</v>
      </c>
      <c r="AY23" s="91">
        <f t="shared" si="11"/>
        <v>15258.484339190221</v>
      </c>
      <c r="AZ23" s="91">
        <f t="shared" si="11"/>
        <v>15100.164733662059</v>
      </c>
      <c r="BA23" s="91">
        <f t="shared" si="11"/>
        <v>14927.452436722246</v>
      </c>
      <c r="BB23" s="91">
        <f t="shared" si="11"/>
        <v>14284.493567333358</v>
      </c>
      <c r="BC23" s="91">
        <f t="shared" si="11"/>
        <v>14037.629346181844</v>
      </c>
      <c r="BD23" s="91">
        <f t="shared" si="11"/>
        <v>13950.141104925651</v>
      </c>
      <c r="BE23" s="91">
        <f t="shared" si="11"/>
        <v>13400.153932646166</v>
      </c>
      <c r="BF23" s="91">
        <f t="shared" si="11"/>
        <v>13254.713381068543</v>
      </c>
      <c r="BG23" s="91">
        <f t="shared" si="11"/>
        <v>13459.687324802047</v>
      </c>
      <c r="BH23" s="91">
        <f t="shared" si="11"/>
        <v>13865.113445238596</v>
      </c>
      <c r="BI23" s="91">
        <f t="shared" si="11"/>
        <v>14307.396485714835</v>
      </c>
    </row>
    <row r="24" spans="1:61" ht="12.75">
      <c r="A24" s="8" t="s">
        <v>82</v>
      </c>
      <c r="B24" s="9">
        <v>5000</v>
      </c>
      <c r="C24" s="9">
        <v>5000</v>
      </c>
      <c r="D24" s="9">
        <v>6000</v>
      </c>
      <c r="E24" s="9">
        <v>15000</v>
      </c>
      <c r="F24" s="9">
        <v>6000</v>
      </c>
      <c r="G24" s="9">
        <v>5000</v>
      </c>
      <c r="H24" s="9">
        <v>5000</v>
      </c>
      <c r="I24" s="9">
        <v>14000</v>
      </c>
      <c r="J24" s="9">
        <v>7000</v>
      </c>
      <c r="K24" s="9">
        <v>7000</v>
      </c>
      <c r="L24" s="9">
        <v>11000</v>
      </c>
      <c r="M24" s="9">
        <v>11000</v>
      </c>
      <c r="N24" s="9">
        <v>9000</v>
      </c>
      <c r="O24" s="9">
        <v>-9000</v>
      </c>
      <c r="P24" s="9">
        <v>1000</v>
      </c>
      <c r="Q24" s="9">
        <v>4000</v>
      </c>
      <c r="R24" s="9">
        <v>2000</v>
      </c>
      <c r="S24" s="9">
        <v>11000</v>
      </c>
      <c r="T24" s="9">
        <v>2000</v>
      </c>
      <c r="U24" s="9">
        <v>15000</v>
      </c>
      <c r="V24" s="9">
        <v>9000</v>
      </c>
      <c r="W24" s="9">
        <v>2000</v>
      </c>
      <c r="X24" s="9">
        <v>2000</v>
      </c>
      <c r="Y24" s="9">
        <v>4000</v>
      </c>
      <c r="Z24" s="9">
        <v>9000</v>
      </c>
      <c r="AA24" s="9">
        <v>4000</v>
      </c>
      <c r="AB24" s="9">
        <v>17000</v>
      </c>
      <c r="AC24" s="9">
        <v>19000</v>
      </c>
      <c r="AD24" s="9">
        <v>8000</v>
      </c>
      <c r="AE24" s="9">
        <v>7000</v>
      </c>
      <c r="AF24" s="9">
        <v>9000</v>
      </c>
      <c r="AG24" s="9">
        <v>10000</v>
      </c>
      <c r="AH24" s="9">
        <v>8000</v>
      </c>
      <c r="AI24" s="9">
        <v>11000</v>
      </c>
      <c r="AJ24" s="9">
        <v>8000</v>
      </c>
      <c r="AK24" s="9">
        <v>26000</v>
      </c>
      <c r="AL24" s="9">
        <v>15000</v>
      </c>
      <c r="AM24" s="9">
        <v>10000</v>
      </c>
      <c r="AN24" s="9">
        <v>6000</v>
      </c>
      <c r="AO24" s="9">
        <v>8000</v>
      </c>
      <c r="AP24" s="9">
        <v>2000</v>
      </c>
      <c r="AQ24" s="9">
        <v>9000</v>
      </c>
      <c r="AR24" s="9">
        <v>20000</v>
      </c>
      <c r="AS24" s="9">
        <v>9000</v>
      </c>
      <c r="AT24" s="9">
        <v>13000</v>
      </c>
      <c r="AU24" s="9">
        <v>9000</v>
      </c>
      <c r="AV24" s="9">
        <v>21000</v>
      </c>
      <c r="AW24" s="9">
        <v>13000</v>
      </c>
      <c r="AX24" s="92">
        <f>AX7*AX57</f>
        <v>12144.000000000002</v>
      </c>
      <c r="AY24" s="92">
        <f t="shared" si="11"/>
        <v>11104</v>
      </c>
      <c r="AZ24" s="92">
        <f t="shared" si="11"/>
        <v>11568</v>
      </c>
      <c r="BA24" s="92">
        <f t="shared" si="11"/>
        <v>11892.363636363636</v>
      </c>
      <c r="BB24" s="92">
        <f t="shared" si="11"/>
        <v>12791.669421487604</v>
      </c>
      <c r="BC24" s="92">
        <f t="shared" si="11"/>
        <v>13136.36664162284</v>
      </c>
      <c r="BD24" s="92">
        <f t="shared" si="11"/>
        <v>12512.399972679461</v>
      </c>
      <c r="BE24" s="92">
        <f t="shared" si="11"/>
        <v>12831.709061104868</v>
      </c>
      <c r="BF24" s="92">
        <f t="shared" si="11"/>
        <v>12816.409884841674</v>
      </c>
      <c r="BG24" s="92">
        <f t="shared" si="11"/>
        <v>13163.356238009099</v>
      </c>
      <c r="BH24" s="92">
        <f t="shared" si="11"/>
        <v>12450.934077828106</v>
      </c>
      <c r="BI24" s="92">
        <f t="shared" si="11"/>
        <v>12401.018993994297</v>
      </c>
    </row>
    <row r="25" spans="1:61" ht="12.75">
      <c r="A25" s="10" t="s">
        <v>83</v>
      </c>
      <c r="B25" s="77">
        <f aca="true" t="shared" si="13" ref="B25:AG25">SUM(B20:B24)</f>
        <v>81500</v>
      </c>
      <c r="C25" s="77">
        <f t="shared" si="13"/>
        <v>69500</v>
      </c>
      <c r="D25" s="77">
        <f t="shared" si="13"/>
        <v>49500</v>
      </c>
      <c r="E25" s="77">
        <f t="shared" si="13"/>
        <v>101500</v>
      </c>
      <c r="F25" s="77">
        <f t="shared" si="13"/>
        <v>84500</v>
      </c>
      <c r="G25" s="77">
        <f t="shared" si="13"/>
        <v>80500</v>
      </c>
      <c r="H25" s="77">
        <f t="shared" si="13"/>
        <v>89500</v>
      </c>
      <c r="I25" s="77">
        <f t="shared" si="13"/>
        <v>82500</v>
      </c>
      <c r="J25" s="77">
        <f t="shared" si="13"/>
        <v>66500</v>
      </c>
      <c r="K25" s="77">
        <f t="shared" si="13"/>
        <v>63500</v>
      </c>
      <c r="L25" s="77">
        <f t="shared" si="13"/>
        <v>48500</v>
      </c>
      <c r="M25" s="77">
        <f t="shared" si="13"/>
        <v>110500</v>
      </c>
      <c r="N25" s="77">
        <f t="shared" si="13"/>
        <v>85500</v>
      </c>
      <c r="O25" s="77">
        <f t="shared" si="13"/>
        <v>97500</v>
      </c>
      <c r="P25" s="77">
        <f t="shared" si="13"/>
        <v>94500</v>
      </c>
      <c r="Q25" s="77">
        <f t="shared" si="13"/>
        <v>109500</v>
      </c>
      <c r="R25" s="77">
        <f t="shared" si="13"/>
        <v>84500</v>
      </c>
      <c r="S25" s="77">
        <f t="shared" si="13"/>
        <v>129500</v>
      </c>
      <c r="T25" s="77">
        <f t="shared" si="13"/>
        <v>84500</v>
      </c>
      <c r="U25" s="77">
        <f t="shared" si="13"/>
        <v>103500</v>
      </c>
      <c r="V25" s="77">
        <f t="shared" si="13"/>
        <v>115500</v>
      </c>
      <c r="W25" s="77">
        <f t="shared" si="13"/>
        <v>84500</v>
      </c>
      <c r="X25" s="77">
        <f t="shared" si="13"/>
        <v>67500</v>
      </c>
      <c r="Y25" s="77">
        <f t="shared" si="13"/>
        <v>132500</v>
      </c>
      <c r="Z25" s="77">
        <f t="shared" si="13"/>
        <v>243500</v>
      </c>
      <c r="AA25" s="77">
        <f t="shared" si="13"/>
        <v>88500</v>
      </c>
      <c r="AB25" s="77">
        <f t="shared" si="13"/>
        <v>82500</v>
      </c>
      <c r="AC25" s="77">
        <f t="shared" si="13"/>
        <v>87500</v>
      </c>
      <c r="AD25" s="77">
        <f t="shared" si="13"/>
        <v>85500</v>
      </c>
      <c r="AE25" s="77">
        <f t="shared" si="13"/>
        <v>77500</v>
      </c>
      <c r="AF25" s="77">
        <f t="shared" si="13"/>
        <v>90500</v>
      </c>
      <c r="AG25" s="77">
        <f t="shared" si="13"/>
        <v>108500</v>
      </c>
      <c r="AH25" s="77">
        <f aca="true" t="shared" si="14" ref="AH25:BM25">SUM(AH20:AH24)</f>
        <v>79500</v>
      </c>
      <c r="AI25" s="77">
        <f t="shared" si="14"/>
        <v>78500</v>
      </c>
      <c r="AJ25" s="77">
        <f t="shared" si="14"/>
        <v>81500</v>
      </c>
      <c r="AK25" s="77">
        <f t="shared" si="14"/>
        <v>78500</v>
      </c>
      <c r="AL25" s="77">
        <f t="shared" si="14"/>
        <v>105500</v>
      </c>
      <c r="AM25" s="77">
        <f t="shared" si="14"/>
        <v>80500</v>
      </c>
      <c r="AN25" s="77">
        <f t="shared" si="14"/>
        <v>83500</v>
      </c>
      <c r="AO25" s="77">
        <f t="shared" si="14"/>
        <v>66500</v>
      </c>
      <c r="AP25" s="77">
        <f t="shared" si="14"/>
        <v>95500</v>
      </c>
      <c r="AQ25" s="77">
        <f t="shared" si="14"/>
        <v>96500</v>
      </c>
      <c r="AR25" s="77">
        <f t="shared" si="14"/>
        <v>107500</v>
      </c>
      <c r="AS25" s="77">
        <f t="shared" si="14"/>
        <v>125500</v>
      </c>
      <c r="AT25" s="77">
        <f t="shared" si="14"/>
        <v>115500</v>
      </c>
      <c r="AU25" s="77">
        <f t="shared" si="14"/>
        <v>97500</v>
      </c>
      <c r="AV25" s="77">
        <f t="shared" si="14"/>
        <v>74500</v>
      </c>
      <c r="AW25" s="77">
        <f t="shared" si="14"/>
        <v>74500</v>
      </c>
      <c r="AX25" s="77">
        <f t="shared" si="14"/>
        <v>100165.49045072575</v>
      </c>
      <c r="AY25" s="77">
        <f t="shared" si="14"/>
        <v>76725.21723730814</v>
      </c>
      <c r="AZ25" s="77">
        <f t="shared" si="14"/>
        <v>75935.19955299926</v>
      </c>
      <c r="BA25" s="77">
        <f t="shared" si="14"/>
        <v>108950.57980266077</v>
      </c>
      <c r="BB25" s="77">
        <f t="shared" si="14"/>
        <v>107053.10921176439</v>
      </c>
      <c r="BC25" s="77">
        <f t="shared" si="14"/>
        <v>116018.04732956419</v>
      </c>
      <c r="BD25" s="77">
        <f t="shared" si="14"/>
        <v>105651.47409214491</v>
      </c>
      <c r="BE25" s="77">
        <f t="shared" si="14"/>
        <v>128337.12070556372</v>
      </c>
      <c r="BF25" s="77">
        <f t="shared" si="14"/>
        <v>94227.56177810926</v>
      </c>
      <c r="BG25" s="77">
        <f t="shared" si="14"/>
        <v>100457.76487329259</v>
      </c>
      <c r="BH25" s="77">
        <f t="shared" si="14"/>
        <v>91223.89628652544</v>
      </c>
      <c r="BI25" s="77">
        <f t="shared" si="14"/>
        <v>84586.91817964733</v>
      </c>
    </row>
    <row r="26" spans="1:61" s="76" customFormat="1" ht="12.75">
      <c r="A26" s="80" t="s">
        <v>202</v>
      </c>
      <c r="B26" s="75">
        <f>B25/B7</f>
        <v>0.5433333333333333</v>
      </c>
      <c r="C26" s="75">
        <f aca="true" t="shared" si="15" ref="C26:BI26">C25/C7</f>
        <v>0.5515873015873016</v>
      </c>
      <c r="D26" s="75">
        <f t="shared" si="15"/>
        <v>0.853448275862069</v>
      </c>
      <c r="E26" s="75">
        <f t="shared" si="15"/>
        <v>0.6424050632911392</v>
      </c>
      <c r="F26" s="75">
        <f t="shared" si="15"/>
        <v>0.32251908396946566</v>
      </c>
      <c r="G26" s="75">
        <f t="shared" si="15"/>
        <v>0.44972067039106145</v>
      </c>
      <c r="H26" s="75">
        <f t="shared" si="15"/>
        <v>0.23677248677248677</v>
      </c>
      <c r="I26" s="75">
        <f t="shared" si="15"/>
        <v>0.44594594594594594</v>
      </c>
      <c r="J26" s="75">
        <f t="shared" si="15"/>
        <v>0.19850746268656716</v>
      </c>
      <c r="K26" s="75">
        <f t="shared" si="15"/>
        <v>0.23175182481751824</v>
      </c>
      <c r="L26" s="75">
        <f t="shared" si="15"/>
        <v>0.3943089430894309</v>
      </c>
      <c r="M26" s="75">
        <f t="shared" si="15"/>
        <v>0.38636363636363635</v>
      </c>
      <c r="N26" s="75">
        <f t="shared" si="15"/>
        <v>0.3958333333333333</v>
      </c>
      <c r="O26" s="75">
        <f t="shared" si="15"/>
        <v>0.8944954128440367</v>
      </c>
      <c r="P26" s="75">
        <f t="shared" si="15"/>
        <v>0.7</v>
      </c>
      <c r="Q26" s="75">
        <f t="shared" si="15"/>
        <v>0.518957345971564</v>
      </c>
      <c r="R26" s="75">
        <f t="shared" si="15"/>
        <v>0.27887788778877887</v>
      </c>
      <c r="S26" s="75">
        <f t="shared" si="15"/>
        <v>0.33462532299741604</v>
      </c>
      <c r="T26" s="75">
        <f t="shared" si="15"/>
        <v>0.3061594202898551</v>
      </c>
      <c r="U26" s="75">
        <f t="shared" si="15"/>
        <v>0.4027237354085603</v>
      </c>
      <c r="V26" s="75">
        <f t="shared" si="15"/>
        <v>0.48125</v>
      </c>
      <c r="W26" s="75">
        <f t="shared" si="15"/>
        <v>0.299645390070922</v>
      </c>
      <c r="X26" s="75">
        <f t="shared" si="15"/>
        <v>0.3813559322033898</v>
      </c>
      <c r="Y26" s="75">
        <f t="shared" si="15"/>
        <v>0.6625</v>
      </c>
      <c r="Z26" s="75">
        <f t="shared" si="15"/>
        <v>0.44272727272727275</v>
      </c>
      <c r="AA26" s="75">
        <f t="shared" si="15"/>
        <v>0.5496894409937888</v>
      </c>
      <c r="AB26" s="75">
        <f t="shared" si="15"/>
        <v>1.4224137931034482</v>
      </c>
      <c r="AC26" s="75">
        <f t="shared" si="15"/>
        <v>0.27689873417721517</v>
      </c>
      <c r="AD26" s="75">
        <f t="shared" si="15"/>
        <v>0.2606707317073171</v>
      </c>
      <c r="AE26" s="75">
        <f t="shared" si="15"/>
        <v>0.2072192513368984</v>
      </c>
      <c r="AF26" s="75">
        <f t="shared" si="15"/>
        <v>0.31099656357388317</v>
      </c>
      <c r="AG26" s="75">
        <f t="shared" si="15"/>
        <v>0.36046511627906974</v>
      </c>
      <c r="AH26" s="75">
        <f t="shared" si="15"/>
        <v>0.47041420118343197</v>
      </c>
      <c r="AI26" s="75">
        <f t="shared" si="15"/>
        <v>0.22819767441860464</v>
      </c>
      <c r="AJ26" s="75">
        <f t="shared" si="15"/>
        <v>0.3738532110091743</v>
      </c>
      <c r="AK26" s="75">
        <f t="shared" si="15"/>
        <v>0.6946902654867256</v>
      </c>
      <c r="AL26" s="75">
        <f t="shared" si="15"/>
        <v>0.45869565217391306</v>
      </c>
      <c r="AM26" s="75">
        <f t="shared" si="15"/>
        <v>0.706140350877193</v>
      </c>
      <c r="AN26" s="75">
        <f t="shared" si="15"/>
        <v>0.8608247422680413</v>
      </c>
      <c r="AO26" s="75">
        <f t="shared" si="15"/>
        <v>0.2375</v>
      </c>
      <c r="AP26" s="75">
        <f t="shared" si="15"/>
        <v>0.35634328358208955</v>
      </c>
      <c r="AQ26" s="75">
        <f t="shared" si="15"/>
        <v>0.2996894409937888</v>
      </c>
      <c r="AR26" s="75">
        <f t="shared" si="15"/>
        <v>0.4041353383458647</v>
      </c>
      <c r="AS26" s="75">
        <f t="shared" si="15"/>
        <v>0.305352798053528</v>
      </c>
      <c r="AT26" s="75">
        <f t="shared" si="15"/>
        <v>0.532258064516129</v>
      </c>
      <c r="AU26" s="75">
        <f t="shared" si="15"/>
        <v>0.37790697674418605</v>
      </c>
      <c r="AV26" s="75">
        <f t="shared" si="15"/>
        <v>0.38402061855670105</v>
      </c>
      <c r="AW26" s="75">
        <f t="shared" si="15"/>
        <v>0.5102739726027398</v>
      </c>
      <c r="AX26" s="75">
        <f t="shared" si="15"/>
        <v>0.39591102944950884</v>
      </c>
      <c r="AY26" s="75">
        <f t="shared" si="15"/>
        <v>0.6118438376180871</v>
      </c>
      <c r="AZ26" s="75">
        <f t="shared" si="15"/>
        <v>0.7116700989034606</v>
      </c>
      <c r="BA26" s="75">
        <f t="shared" si="15"/>
        <v>0.35373564870993757</v>
      </c>
      <c r="BB26" s="75">
        <f t="shared" si="15"/>
        <v>0.36313809094899724</v>
      </c>
      <c r="BC26" s="75">
        <f t="shared" si="15"/>
        <v>0.32754954073846465</v>
      </c>
      <c r="BD26" s="75">
        <f t="shared" si="15"/>
        <v>0.3610781752978295</v>
      </c>
      <c r="BE26" s="75">
        <f t="shared" si="15"/>
        <v>0.28386888012732514</v>
      </c>
      <c r="BF26" s="75">
        <f t="shared" si="15"/>
        <v>0.39475308662802366</v>
      </c>
      <c r="BG26" s="75">
        <f t="shared" si="15"/>
        <v>0.3539738015267533</v>
      </c>
      <c r="BH26" s="75">
        <f t="shared" si="15"/>
        <v>0.4274784268347021</v>
      </c>
      <c r="BI26" s="75">
        <f t="shared" si="15"/>
        <v>0.5266931393502324</v>
      </c>
    </row>
    <row r="27" spans="1:61" s="76" customFormat="1" ht="12.75">
      <c r="A27" s="12" t="s">
        <v>163</v>
      </c>
      <c r="B27" s="81">
        <f>B17/B22</f>
        <v>3.3666666666666667</v>
      </c>
      <c r="C27" s="81">
        <f aca="true" t="shared" si="16" ref="C27:AW27">C17/C22</f>
        <v>2.1875</v>
      </c>
      <c r="D27" s="81">
        <f t="shared" si="16"/>
        <v>-1.2666666666666666</v>
      </c>
      <c r="E27" s="81">
        <f t="shared" si="16"/>
        <v>1.4615384615384615</v>
      </c>
      <c r="F27" s="81">
        <f t="shared" si="16"/>
        <v>3.027027027027027</v>
      </c>
      <c r="G27" s="81">
        <f t="shared" si="16"/>
        <v>0.8108108108108109</v>
      </c>
      <c r="H27" s="81">
        <f t="shared" si="16"/>
        <v>6.594594594594595</v>
      </c>
      <c r="I27" s="81">
        <f t="shared" si="16"/>
        <v>1.4054054054054055</v>
      </c>
      <c r="J27" s="81">
        <f t="shared" si="16"/>
        <v>9.666666666666666</v>
      </c>
      <c r="K27" s="81">
        <f t="shared" si="16"/>
        <v>4.1923076923076925</v>
      </c>
      <c r="L27" s="81">
        <f t="shared" si="16"/>
        <v>-2.5625</v>
      </c>
      <c r="M27" s="81">
        <f t="shared" si="16"/>
        <v>25.2</v>
      </c>
      <c r="N27" s="81">
        <f t="shared" si="16"/>
        <v>3.5925925925925926</v>
      </c>
      <c r="O27" s="81">
        <f t="shared" si="16"/>
        <v>1.3125</v>
      </c>
      <c r="P27" s="81">
        <f t="shared" si="16"/>
        <v>1.679245283018868</v>
      </c>
      <c r="Q27" s="81">
        <f t="shared" si="16"/>
        <v>1.2318840579710144</v>
      </c>
      <c r="R27" s="81">
        <f t="shared" si="16"/>
        <v>3.6</v>
      </c>
      <c r="S27" s="81">
        <f t="shared" si="16"/>
        <v>5.068181818181818</v>
      </c>
      <c r="T27" s="81">
        <f t="shared" si="16"/>
        <v>2.3555555555555556</v>
      </c>
      <c r="U27" s="81">
        <f t="shared" si="16"/>
        <v>2.488888888888889</v>
      </c>
      <c r="V27" s="81">
        <f t="shared" si="16"/>
        <v>1.8727272727272728</v>
      </c>
      <c r="W27" s="81">
        <f t="shared" si="16"/>
        <v>3.8095238095238093</v>
      </c>
      <c r="X27" s="81">
        <f t="shared" si="16"/>
        <v>2.7222222222222223</v>
      </c>
      <c r="Y27" s="81">
        <f t="shared" si="16"/>
        <v>2.727272727272727</v>
      </c>
      <c r="Z27" s="81">
        <f t="shared" si="16"/>
        <v>13.1875</v>
      </c>
      <c r="AA27" s="81">
        <f t="shared" si="16"/>
        <v>2.46875</v>
      </c>
      <c r="AB27" s="81">
        <f t="shared" si="16"/>
        <v>-3.590909090909091</v>
      </c>
      <c r="AC27" s="81">
        <f t="shared" si="16"/>
        <v>3.875</v>
      </c>
      <c r="AD27" s="81">
        <f t="shared" si="16"/>
        <v>4.580645161290323</v>
      </c>
      <c r="AE27" s="81">
        <f t="shared" si="16"/>
        <v>6.6</v>
      </c>
      <c r="AF27" s="81">
        <f t="shared" si="16"/>
        <v>4.366666666666666</v>
      </c>
      <c r="AG27" s="81">
        <f t="shared" si="16"/>
        <v>3.1777777777777776</v>
      </c>
      <c r="AH27" s="81">
        <f t="shared" si="16"/>
        <v>2.0625</v>
      </c>
      <c r="AI27" s="81">
        <f t="shared" si="16"/>
        <v>6.794117647058823</v>
      </c>
      <c r="AJ27" s="81">
        <f t="shared" si="16"/>
        <v>4.064516129032258</v>
      </c>
      <c r="AK27" s="81">
        <f t="shared" si="16"/>
        <v>2.3548387096774195</v>
      </c>
      <c r="AL27" s="81">
        <f t="shared" si="16"/>
        <v>5.642857142857143</v>
      </c>
      <c r="AM27" s="81">
        <f t="shared" si="16"/>
        <v>1.4482758620689655</v>
      </c>
      <c r="AN27" s="81">
        <f t="shared" si="16"/>
        <v>-0.14583333333333334</v>
      </c>
      <c r="AO27" s="81">
        <f t="shared" si="16"/>
        <v>4.25</v>
      </c>
      <c r="AP27" s="81">
        <f t="shared" si="16"/>
        <v>2.6176470588235294</v>
      </c>
      <c r="AQ27" s="81">
        <f t="shared" si="16"/>
        <v>4.970588235294118</v>
      </c>
      <c r="AR27" s="81">
        <f t="shared" si="16"/>
        <v>4.393939393939394</v>
      </c>
      <c r="AS27" s="81">
        <f t="shared" si="16"/>
        <v>5.408163265306122</v>
      </c>
      <c r="AT27" s="81">
        <f t="shared" si="16"/>
        <v>3.411764705882353</v>
      </c>
      <c r="AU27" s="81">
        <f t="shared" si="16"/>
        <v>5.121212121212121</v>
      </c>
      <c r="AV27" s="81">
        <f t="shared" si="16"/>
        <v>3.0625</v>
      </c>
      <c r="AW27" s="81">
        <f t="shared" si="16"/>
        <v>3.066666666666667</v>
      </c>
      <c r="AX27" s="94">
        <v>3.5</v>
      </c>
      <c r="AY27" s="94">
        <v>3.5</v>
      </c>
      <c r="AZ27" s="94">
        <v>3.5</v>
      </c>
      <c r="BA27" s="94">
        <v>3.5</v>
      </c>
      <c r="BB27" s="94">
        <v>3.5</v>
      </c>
      <c r="BC27" s="94">
        <v>3.5</v>
      </c>
      <c r="BD27" s="94">
        <v>3.5</v>
      </c>
      <c r="BE27" s="94">
        <v>3.5</v>
      </c>
      <c r="BF27" s="94">
        <v>3.5</v>
      </c>
      <c r="BG27" s="94">
        <v>3.5</v>
      </c>
      <c r="BH27" s="94">
        <v>3.5</v>
      </c>
      <c r="BI27" s="94">
        <v>3.5</v>
      </c>
    </row>
    <row r="28" ht="12.75">
      <c r="A28" s="11"/>
    </row>
    <row r="29" spans="1:61" ht="12.75">
      <c r="A29" s="10" t="s">
        <v>84</v>
      </c>
      <c r="B29" s="9">
        <f aca="true" t="shared" si="17" ref="B29:AG29">B17-B25</f>
        <v>19500</v>
      </c>
      <c r="C29" s="9">
        <f t="shared" si="17"/>
        <v>500</v>
      </c>
      <c r="D29" s="9">
        <f t="shared" si="17"/>
        <v>-87500</v>
      </c>
      <c r="E29" s="9">
        <f t="shared" si="17"/>
        <v>-25500</v>
      </c>
      <c r="F29" s="9">
        <f t="shared" si="17"/>
        <v>27500</v>
      </c>
      <c r="G29" s="9">
        <f t="shared" si="17"/>
        <v>-50500</v>
      </c>
      <c r="H29" s="9">
        <f t="shared" si="17"/>
        <v>154500</v>
      </c>
      <c r="I29" s="9">
        <f t="shared" si="17"/>
        <v>-30500</v>
      </c>
      <c r="J29" s="9">
        <f t="shared" si="17"/>
        <v>107500</v>
      </c>
      <c r="K29" s="9">
        <f t="shared" si="17"/>
        <v>45500</v>
      </c>
      <c r="L29" s="9">
        <f t="shared" si="17"/>
        <v>-89500</v>
      </c>
      <c r="M29" s="9">
        <f t="shared" si="17"/>
        <v>141500</v>
      </c>
      <c r="N29" s="9">
        <f t="shared" si="17"/>
        <v>11500</v>
      </c>
      <c r="O29" s="9">
        <f t="shared" si="17"/>
        <v>-34500</v>
      </c>
      <c r="P29" s="9">
        <f t="shared" si="17"/>
        <v>-5500</v>
      </c>
      <c r="Q29" s="9">
        <f t="shared" si="17"/>
        <v>-24500</v>
      </c>
      <c r="R29" s="9">
        <f t="shared" si="17"/>
        <v>59500</v>
      </c>
      <c r="S29" s="9">
        <f t="shared" si="17"/>
        <v>93500</v>
      </c>
      <c r="T29" s="9">
        <f t="shared" si="17"/>
        <v>21500</v>
      </c>
      <c r="U29" s="9">
        <f t="shared" si="17"/>
        <v>8500</v>
      </c>
      <c r="V29" s="9">
        <f t="shared" si="17"/>
        <v>-12500</v>
      </c>
      <c r="W29" s="9">
        <f t="shared" si="17"/>
        <v>75500</v>
      </c>
      <c r="X29" s="9">
        <f t="shared" si="17"/>
        <v>30500</v>
      </c>
      <c r="Y29" s="9">
        <f t="shared" si="17"/>
        <v>-12500</v>
      </c>
      <c r="Z29" s="9">
        <f t="shared" si="17"/>
        <v>178500</v>
      </c>
      <c r="AA29" s="9">
        <f t="shared" si="17"/>
        <v>-9500</v>
      </c>
      <c r="AB29" s="9">
        <f t="shared" si="17"/>
        <v>-240500</v>
      </c>
      <c r="AC29" s="9">
        <f t="shared" si="17"/>
        <v>36500</v>
      </c>
      <c r="AD29" s="9">
        <f t="shared" si="17"/>
        <v>56500</v>
      </c>
      <c r="AE29" s="9">
        <f t="shared" si="17"/>
        <v>120500</v>
      </c>
      <c r="AF29" s="9">
        <f t="shared" si="17"/>
        <v>40500</v>
      </c>
      <c r="AG29" s="9">
        <f t="shared" si="17"/>
        <v>34500</v>
      </c>
      <c r="AH29" s="9">
        <f aca="true" t="shared" si="18" ref="AH29:BI29">AH17-AH25</f>
        <v>-13500</v>
      </c>
      <c r="AI29" s="9">
        <f t="shared" si="18"/>
        <v>152500</v>
      </c>
      <c r="AJ29" s="9">
        <f t="shared" si="18"/>
        <v>44500</v>
      </c>
      <c r="AK29" s="9">
        <f t="shared" si="18"/>
        <v>-5500</v>
      </c>
      <c r="AL29" s="9">
        <f t="shared" si="18"/>
        <v>52500</v>
      </c>
      <c r="AM29" s="9">
        <f t="shared" si="18"/>
        <v>-38500</v>
      </c>
      <c r="AN29" s="9">
        <f t="shared" si="18"/>
        <v>-90500</v>
      </c>
      <c r="AO29" s="9">
        <f t="shared" si="18"/>
        <v>86500</v>
      </c>
      <c r="AP29" s="9">
        <f t="shared" si="18"/>
        <v>-6500</v>
      </c>
      <c r="AQ29" s="9">
        <f t="shared" si="18"/>
        <v>72500</v>
      </c>
      <c r="AR29" s="9">
        <f t="shared" si="18"/>
        <v>37500</v>
      </c>
      <c r="AS29" s="9">
        <f t="shared" si="18"/>
        <v>139500</v>
      </c>
      <c r="AT29" s="9">
        <f t="shared" si="18"/>
        <v>500</v>
      </c>
      <c r="AU29" s="9">
        <f t="shared" si="18"/>
        <v>71500</v>
      </c>
      <c r="AV29" s="9">
        <f t="shared" si="18"/>
        <v>23500</v>
      </c>
      <c r="AW29" s="9">
        <f t="shared" si="18"/>
        <v>17500</v>
      </c>
      <c r="AX29" s="9">
        <f t="shared" si="18"/>
        <v>33329.215431627206</v>
      </c>
      <c r="AY29" s="9">
        <f t="shared" si="18"/>
        <v>-10558.276060837554</v>
      </c>
      <c r="AZ29" s="9">
        <f t="shared" si="18"/>
        <v>-19635.25837652867</v>
      </c>
      <c r="BA29" s="9">
        <f t="shared" si="18"/>
        <v>53564.71431498628</v>
      </c>
      <c r="BB29" s="9">
        <f t="shared" si="18"/>
        <v>48497.24372941206</v>
      </c>
      <c r="BC29" s="9">
        <f t="shared" si="18"/>
        <v>70874.54090572991</v>
      </c>
      <c r="BD29" s="9">
        <f t="shared" si="18"/>
        <v>48738.05531961979</v>
      </c>
      <c r="BE29" s="9">
        <f t="shared" si="18"/>
        <v>110212.11458855393</v>
      </c>
      <c r="BF29" s="9">
        <f t="shared" si="18"/>
        <v>31721.791163067217</v>
      </c>
      <c r="BG29" s="9">
        <f t="shared" si="18"/>
        <v>49288.47042082503</v>
      </c>
      <c r="BH29" s="9">
        <f t="shared" si="18"/>
        <v>21375.98606641573</v>
      </c>
      <c r="BI29" s="9">
        <f t="shared" si="18"/>
        <v>153.19946741148306</v>
      </c>
    </row>
    <row r="30" spans="1:61" s="76" customFormat="1" ht="12.75">
      <c r="A30" s="80" t="s">
        <v>202</v>
      </c>
      <c r="B30" s="75">
        <f>B29/B7</f>
        <v>0.13</v>
      </c>
      <c r="C30" s="75">
        <f aca="true" t="shared" si="19" ref="C30:BI30">C29/C7</f>
        <v>0.003968253968253968</v>
      </c>
      <c r="D30" s="75">
        <f t="shared" si="19"/>
        <v>-1.5086206896551724</v>
      </c>
      <c r="E30" s="75">
        <f t="shared" si="19"/>
        <v>-0.16139240506329114</v>
      </c>
      <c r="F30" s="75">
        <f t="shared" si="19"/>
        <v>0.1049618320610687</v>
      </c>
      <c r="G30" s="75">
        <f t="shared" si="19"/>
        <v>-0.28212290502793297</v>
      </c>
      <c r="H30" s="75">
        <f t="shared" si="19"/>
        <v>0.4087301587301587</v>
      </c>
      <c r="I30" s="75">
        <f t="shared" si="19"/>
        <v>-0.16486486486486487</v>
      </c>
      <c r="J30" s="75">
        <f t="shared" si="19"/>
        <v>0.3208955223880597</v>
      </c>
      <c r="K30" s="75">
        <f t="shared" si="19"/>
        <v>0.16605839416058393</v>
      </c>
      <c r="L30" s="75">
        <f t="shared" si="19"/>
        <v>-0.7276422764227642</v>
      </c>
      <c r="M30" s="75">
        <f t="shared" si="19"/>
        <v>0.49475524475524474</v>
      </c>
      <c r="N30" s="75">
        <f t="shared" si="19"/>
        <v>0.05324074074074074</v>
      </c>
      <c r="O30" s="75">
        <f t="shared" si="19"/>
        <v>-0.3165137614678899</v>
      </c>
      <c r="P30" s="75">
        <f t="shared" si="19"/>
        <v>-0.040740740740740744</v>
      </c>
      <c r="Q30" s="75">
        <f t="shared" si="19"/>
        <v>-0.11611374407582939</v>
      </c>
      <c r="R30" s="75">
        <f t="shared" si="19"/>
        <v>0.19636963696369636</v>
      </c>
      <c r="S30" s="75">
        <f t="shared" si="19"/>
        <v>0.24160206718346253</v>
      </c>
      <c r="T30" s="75">
        <f t="shared" si="19"/>
        <v>0.07789855072463768</v>
      </c>
      <c r="U30" s="75">
        <f t="shared" si="19"/>
        <v>0.033073929961089495</v>
      </c>
      <c r="V30" s="75">
        <f t="shared" si="19"/>
        <v>-0.052083333333333336</v>
      </c>
      <c r="W30" s="75">
        <f t="shared" si="19"/>
        <v>0.26773049645390073</v>
      </c>
      <c r="X30" s="75">
        <f t="shared" si="19"/>
        <v>0.17231638418079095</v>
      </c>
      <c r="Y30" s="75">
        <f t="shared" si="19"/>
        <v>-0.0625</v>
      </c>
      <c r="Z30" s="75">
        <f t="shared" si="19"/>
        <v>0.3245454545454545</v>
      </c>
      <c r="AA30" s="75">
        <f t="shared" si="19"/>
        <v>-0.059006211180124224</v>
      </c>
      <c r="AB30" s="75">
        <f t="shared" si="19"/>
        <v>-4.146551724137931</v>
      </c>
      <c r="AC30" s="75">
        <f t="shared" si="19"/>
        <v>0.11550632911392406</v>
      </c>
      <c r="AD30" s="75">
        <f t="shared" si="19"/>
        <v>0.1722560975609756</v>
      </c>
      <c r="AE30" s="75">
        <f t="shared" si="19"/>
        <v>0.32219251336898397</v>
      </c>
      <c r="AF30" s="75">
        <f t="shared" si="19"/>
        <v>0.13917525773195877</v>
      </c>
      <c r="AG30" s="75">
        <f t="shared" si="19"/>
        <v>0.11461794019933555</v>
      </c>
      <c r="AH30" s="75">
        <f t="shared" si="19"/>
        <v>-0.07988165680473373</v>
      </c>
      <c r="AI30" s="75">
        <f t="shared" si="19"/>
        <v>0.4433139534883721</v>
      </c>
      <c r="AJ30" s="75">
        <f t="shared" si="19"/>
        <v>0.20412844036697247</v>
      </c>
      <c r="AK30" s="75">
        <f t="shared" si="19"/>
        <v>-0.048672566371681415</v>
      </c>
      <c r="AL30" s="75">
        <f t="shared" si="19"/>
        <v>0.22826086956521738</v>
      </c>
      <c r="AM30" s="75">
        <f t="shared" si="19"/>
        <v>-0.33771929824561403</v>
      </c>
      <c r="AN30" s="75">
        <f t="shared" si="19"/>
        <v>-0.9329896907216495</v>
      </c>
      <c r="AO30" s="75">
        <f t="shared" si="19"/>
        <v>0.30892857142857144</v>
      </c>
      <c r="AP30" s="75">
        <f t="shared" si="19"/>
        <v>-0.024253731343283583</v>
      </c>
      <c r="AQ30" s="75">
        <f t="shared" si="19"/>
        <v>0.2251552795031056</v>
      </c>
      <c r="AR30" s="75">
        <f t="shared" si="19"/>
        <v>0.14097744360902256</v>
      </c>
      <c r="AS30" s="75">
        <f t="shared" si="19"/>
        <v>0.33941605839416056</v>
      </c>
      <c r="AT30" s="75">
        <f t="shared" si="19"/>
        <v>0.002304147465437788</v>
      </c>
      <c r="AU30" s="75">
        <f t="shared" si="19"/>
        <v>0.2771317829457364</v>
      </c>
      <c r="AV30" s="75">
        <f t="shared" si="19"/>
        <v>0.1211340206185567</v>
      </c>
      <c r="AW30" s="75">
        <f t="shared" si="19"/>
        <v>0.11986301369863013</v>
      </c>
      <c r="AX30" s="75">
        <f t="shared" si="19"/>
        <v>0.13173602937402057</v>
      </c>
      <c r="AY30" s="75">
        <f t="shared" si="19"/>
        <v>-0.08419677879455784</v>
      </c>
      <c r="AZ30" s="75">
        <f t="shared" si="19"/>
        <v>-0.18402304007993125</v>
      </c>
      <c r="BA30" s="75">
        <f t="shared" si="19"/>
        <v>0.17391141011359182</v>
      </c>
      <c r="BB30" s="75">
        <f t="shared" si="19"/>
        <v>0.1645089678745321</v>
      </c>
      <c r="BC30" s="75">
        <f t="shared" si="19"/>
        <v>0.20009751808506468</v>
      </c>
      <c r="BD30" s="75">
        <f t="shared" si="19"/>
        <v>0.1665688835256999</v>
      </c>
      <c r="BE30" s="75">
        <f t="shared" si="19"/>
        <v>0.2437781786962042</v>
      </c>
      <c r="BF30" s="75">
        <f t="shared" si="19"/>
        <v>0.13289397219550572</v>
      </c>
      <c r="BG30" s="75">
        <f t="shared" si="19"/>
        <v>0.17367325729677602</v>
      </c>
      <c r="BH30" s="75">
        <f t="shared" si="19"/>
        <v>0.10016863198882722</v>
      </c>
      <c r="BI30" s="75">
        <f t="shared" si="19"/>
        <v>0.0009539194732969057</v>
      </c>
    </row>
    <row r="31" ht="12.75">
      <c r="A31" s="7" t="s">
        <v>85</v>
      </c>
    </row>
    <row r="32" spans="1:61" ht="12.75">
      <c r="A32" s="8" t="s">
        <v>87</v>
      </c>
      <c r="B32" s="5">
        <v>-11500</v>
      </c>
      <c r="C32" s="5">
        <v>-11500</v>
      </c>
      <c r="D32" s="5">
        <v>-11500</v>
      </c>
      <c r="E32" s="5">
        <v>-11500</v>
      </c>
      <c r="F32" s="5">
        <v>-11500</v>
      </c>
      <c r="G32" s="5">
        <v>-11500</v>
      </c>
      <c r="H32" s="5">
        <v>-11500</v>
      </c>
      <c r="I32" s="5">
        <v>-11500</v>
      </c>
      <c r="J32" s="5">
        <v>-11500</v>
      </c>
      <c r="K32" s="5">
        <v>-11500</v>
      </c>
      <c r="L32" s="5">
        <v>-11500</v>
      </c>
      <c r="M32" s="5">
        <v>-11500</v>
      </c>
      <c r="N32" s="5">
        <v>-8100</v>
      </c>
      <c r="O32" s="5">
        <v>-8100</v>
      </c>
      <c r="P32" s="5">
        <v>-8100</v>
      </c>
      <c r="Q32" s="5">
        <v>-8100</v>
      </c>
      <c r="R32" s="5">
        <v>-8100</v>
      </c>
      <c r="S32" s="5">
        <v>-8100</v>
      </c>
      <c r="T32" s="5">
        <v>-8100</v>
      </c>
      <c r="U32" s="5">
        <v>-8100</v>
      </c>
      <c r="V32" s="5">
        <v>-8100</v>
      </c>
      <c r="W32" s="5">
        <v>-8100</v>
      </c>
      <c r="X32" s="5">
        <v>-8100</v>
      </c>
      <c r="Y32" s="5">
        <v>-8100</v>
      </c>
      <c r="Z32" s="5">
        <v>-12100</v>
      </c>
      <c r="AA32" s="5">
        <v>-12100</v>
      </c>
      <c r="AB32" s="5">
        <v>-12100</v>
      </c>
      <c r="AC32" s="5">
        <v>-12100</v>
      </c>
      <c r="AD32" s="5">
        <v>-12100</v>
      </c>
      <c r="AE32" s="5">
        <v>-12100</v>
      </c>
      <c r="AF32" s="5">
        <v>-12100</v>
      </c>
      <c r="AG32" s="5">
        <v>-12100</v>
      </c>
      <c r="AH32" s="5">
        <v>-12100</v>
      </c>
      <c r="AI32" s="5">
        <v>-12100</v>
      </c>
      <c r="AJ32" s="5">
        <v>-12100</v>
      </c>
      <c r="AK32" s="5">
        <v>-12100</v>
      </c>
      <c r="AL32" s="5">
        <v>-2100</v>
      </c>
      <c r="AM32" s="5">
        <v>-2100</v>
      </c>
      <c r="AN32" s="5">
        <v>-2100</v>
      </c>
      <c r="AO32" s="5">
        <v>-2100</v>
      </c>
      <c r="AP32" s="5">
        <v>-2100</v>
      </c>
      <c r="AQ32" s="5">
        <v>-2100</v>
      </c>
      <c r="AR32" s="5">
        <v>-2100</v>
      </c>
      <c r="AS32" s="5">
        <v>-2100</v>
      </c>
      <c r="AT32" s="5">
        <v>-2100</v>
      </c>
      <c r="AU32" s="5">
        <v>-2100</v>
      </c>
      <c r="AV32" s="5">
        <v>-2100</v>
      </c>
      <c r="AW32" s="5">
        <v>-2100</v>
      </c>
      <c r="AX32" s="91">
        <f>AVERAGE(AM32:AW32)</f>
        <v>-2100</v>
      </c>
      <c r="AY32" s="91">
        <f aca="true" t="shared" si="20" ref="AY32:BI34">AVERAGE(AN32:AX32)</f>
        <v>-2100</v>
      </c>
      <c r="AZ32" s="91">
        <f t="shared" si="20"/>
        <v>-2100</v>
      </c>
      <c r="BA32" s="91">
        <f t="shared" si="20"/>
        <v>-2100</v>
      </c>
      <c r="BB32" s="91">
        <f t="shared" si="20"/>
        <v>-2100</v>
      </c>
      <c r="BC32" s="91">
        <f t="shared" si="20"/>
        <v>-2100</v>
      </c>
      <c r="BD32" s="91">
        <f t="shared" si="20"/>
        <v>-2100</v>
      </c>
      <c r="BE32" s="91">
        <f t="shared" si="20"/>
        <v>-2100</v>
      </c>
      <c r="BF32" s="91">
        <f t="shared" si="20"/>
        <v>-2100</v>
      </c>
      <c r="BG32" s="91">
        <f t="shared" si="20"/>
        <v>-2100</v>
      </c>
      <c r="BH32" s="91">
        <f t="shared" si="20"/>
        <v>-2100</v>
      </c>
      <c r="BI32" s="91">
        <f t="shared" si="20"/>
        <v>-2100</v>
      </c>
    </row>
    <row r="33" spans="1:61" ht="12.75">
      <c r="A33" s="8" t="s">
        <v>199</v>
      </c>
      <c r="B33" s="5">
        <v>4000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170</v>
      </c>
      <c r="K33" s="5">
        <v>1000</v>
      </c>
      <c r="L33" s="5">
        <v>2</v>
      </c>
      <c r="M33" s="5">
        <v>-1000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100</v>
      </c>
      <c r="AG33" s="5">
        <v>75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91">
        <f>AVERAGE(AM33:AW33)</f>
        <v>0</v>
      </c>
      <c r="AY33" s="91">
        <f t="shared" si="20"/>
        <v>0</v>
      </c>
      <c r="AZ33" s="91">
        <f t="shared" si="20"/>
        <v>0</v>
      </c>
      <c r="BA33" s="91">
        <f t="shared" si="20"/>
        <v>0</v>
      </c>
      <c r="BB33" s="91">
        <f t="shared" si="20"/>
        <v>0</v>
      </c>
      <c r="BC33" s="91">
        <f t="shared" si="20"/>
        <v>0</v>
      </c>
      <c r="BD33" s="91">
        <f t="shared" si="20"/>
        <v>0</v>
      </c>
      <c r="BE33" s="91">
        <f t="shared" si="20"/>
        <v>0</v>
      </c>
      <c r="BF33" s="91">
        <f t="shared" si="20"/>
        <v>0</v>
      </c>
      <c r="BG33" s="91">
        <f t="shared" si="20"/>
        <v>0</v>
      </c>
      <c r="BH33" s="91">
        <f t="shared" si="20"/>
        <v>0</v>
      </c>
      <c r="BI33" s="91">
        <f t="shared" si="20"/>
        <v>0</v>
      </c>
    </row>
    <row r="34" spans="1:61" ht="12.75">
      <c r="A34" s="8" t="s">
        <v>86</v>
      </c>
      <c r="B34" s="9">
        <f>-ROUND(('BS'!B38+'BS'!B33)*0.07/12,0)</f>
        <v>-986</v>
      </c>
      <c r="C34" s="9">
        <f>-ROUND(('BS'!C38+'BS'!C33)*0.07/12,0)</f>
        <v>-963</v>
      </c>
      <c r="D34" s="9">
        <f>-ROUND(('BS'!D38+'BS'!D33)*0.07/12,0)</f>
        <v>-945</v>
      </c>
      <c r="E34" s="9">
        <f>-ROUND(('BS'!E38+'BS'!E33)*0.07/12,0)</f>
        <v>-922</v>
      </c>
      <c r="F34" s="9">
        <f>-ROUND(('BS'!F38+'BS'!F33)*0.07/12,0)</f>
        <v>-893</v>
      </c>
      <c r="G34" s="9">
        <f>-ROUND(('BS'!G38+'BS'!G33)*0.07/12,0)</f>
        <v>-875</v>
      </c>
      <c r="H34" s="9">
        <f>-ROUND(('BS'!H38+'BS'!H33)*0.07/12,0)</f>
        <v>-1015</v>
      </c>
      <c r="I34" s="9">
        <f>-ROUND(('BS'!I38+'BS'!I33)*0.07/12,0)</f>
        <v>-986</v>
      </c>
      <c r="J34" s="9">
        <f>-ROUND(('BS'!J38+'BS'!J33)*0.07/12,0)</f>
        <v>-1190</v>
      </c>
      <c r="K34" s="9">
        <f>-ROUND(('BS'!K38+'BS'!K33)*0.07/12,0)</f>
        <v>-1161</v>
      </c>
      <c r="L34" s="9">
        <f>-ROUND(('BS'!L38+'BS'!L33)*0.07/12,0)</f>
        <v>-1295</v>
      </c>
      <c r="M34" s="9">
        <f>-ROUND(('BS'!M38+'BS'!M33)*0.07/12,0)</f>
        <v>-1517</v>
      </c>
      <c r="N34" s="9">
        <f>-ROUND(('BS'!N38+'BS'!N33)*0.07/12,0)</f>
        <v>-1260</v>
      </c>
      <c r="O34" s="9">
        <f>-ROUND(('BS'!O38+'BS'!O33)*0.07/12,0)</f>
        <v>-1231</v>
      </c>
      <c r="P34" s="9">
        <f>-ROUND(('BS'!P38+'BS'!P33)*0.07/12,0)</f>
        <v>-1202</v>
      </c>
      <c r="Q34" s="9">
        <f>-ROUND(('BS'!Q38+'BS'!Q33)*0.07/12,0)</f>
        <v>-1604</v>
      </c>
      <c r="R34" s="9">
        <f>-ROUND(('BS'!R38+'BS'!R33)*0.07/12,0)</f>
        <v>-1593</v>
      </c>
      <c r="S34" s="9">
        <f>-ROUND(('BS'!S38+'BS'!S33)*0.07/12,0)</f>
        <v>-1552</v>
      </c>
      <c r="T34" s="9">
        <f>-ROUND(('BS'!T38+'BS'!T33)*0.07/12,0)</f>
        <v>-1505</v>
      </c>
      <c r="U34" s="9">
        <f>-ROUND(('BS'!U38+'BS'!U33)*0.07/12,0)</f>
        <v>-1464</v>
      </c>
      <c r="V34" s="9">
        <f>-ROUND(('BS'!V38+'BS'!V33)*0.07/12,0)</f>
        <v>-1418</v>
      </c>
      <c r="W34" s="9">
        <f>-ROUND(('BS'!W38+'BS'!W33)*0.07/12,0)</f>
        <v>-1528</v>
      </c>
      <c r="X34" s="9">
        <f>-ROUND(('BS'!X38+'BS'!X33)*0.07/12,0)</f>
        <v>-1488</v>
      </c>
      <c r="Y34" s="9">
        <f>-ROUND(('BS'!Y38+'BS'!Y33)*0.07/12,0)</f>
        <v>-1791</v>
      </c>
      <c r="Z34" s="9">
        <f>-ROUND(('BS'!Z38+'BS'!Z33)*0.07/12,0)</f>
        <v>-1394</v>
      </c>
      <c r="AA34" s="9">
        <f>-ROUND(('BS'!AA38+'BS'!AA33)*0.07/12,0)</f>
        <v>-1348</v>
      </c>
      <c r="AB34" s="9">
        <f>-ROUND(('BS'!AB38+'BS'!AB33)*0.07/12,0)</f>
        <v>-1301</v>
      </c>
      <c r="AC34" s="9">
        <f>-ROUND(('BS'!AC38+'BS'!AC33)*0.07/12,0)</f>
        <v>-1254</v>
      </c>
      <c r="AD34" s="9">
        <f>-ROUND(('BS'!AD38+'BS'!AD33)*0.07/12,0)</f>
        <v>-1657</v>
      </c>
      <c r="AE34" s="9">
        <f>-ROUND(('BS'!AE38+'BS'!AE33)*0.07/12,0)</f>
        <v>-1604</v>
      </c>
      <c r="AF34" s="9">
        <f>-ROUND(('BS'!AF38+'BS'!AF33)*0.07/12,0)</f>
        <v>-1546</v>
      </c>
      <c r="AG34" s="9">
        <f>-ROUND(('BS'!AG38+'BS'!AG33)*0.07/12,0)</f>
        <v>-1493</v>
      </c>
      <c r="AH34" s="9">
        <f>-ROUND(('BS'!AH38+'BS'!AH33)*0.07/12,0)</f>
        <v>-1435</v>
      </c>
      <c r="AI34" s="9">
        <f>-ROUND(('BS'!AI38+'BS'!AI33)*0.07/12,0)</f>
        <v>-1377</v>
      </c>
      <c r="AJ34" s="9">
        <f>-ROUND(('BS'!AJ38+'BS'!AJ33)*0.07/12,0)</f>
        <v>-1324</v>
      </c>
      <c r="AK34" s="9">
        <f>-ROUND(('BS'!AK38+'BS'!AK33)*0.07/12,0)</f>
        <v>-1266</v>
      </c>
      <c r="AL34" s="9">
        <f>-ROUND(('BS'!AL38+'BS'!AL33)*0.07/12,0)</f>
        <v>-1208</v>
      </c>
      <c r="AM34" s="9">
        <f>-ROUND(('BS'!AM38+'BS'!AM33)*0.07/12,0)</f>
        <v>-1149</v>
      </c>
      <c r="AN34" s="9">
        <f>-ROUND(('BS'!AN38+'BS'!AN33)*0.07/12,0)</f>
        <v>-1091</v>
      </c>
      <c r="AO34" s="9">
        <f>-ROUND(('BS'!AO38+'BS'!AO33)*0.07/12,0)</f>
        <v>-1161</v>
      </c>
      <c r="AP34" s="9">
        <f>-ROUND(('BS'!AP38+'BS'!AP33)*0.07/12,0)</f>
        <v>-1091</v>
      </c>
      <c r="AQ34" s="9">
        <f>-ROUND(('BS'!AQ38+'BS'!AQ33)*0.07/12,0)</f>
        <v>-1027</v>
      </c>
      <c r="AR34" s="9">
        <f>-ROUND(('BS'!AR38+'BS'!AR33)*0.07/12,0)</f>
        <v>-963</v>
      </c>
      <c r="AS34" s="9">
        <f>-ROUND(('BS'!AS38+'BS'!AS33)*0.07/12,0)</f>
        <v>-898</v>
      </c>
      <c r="AT34" s="9">
        <f>-ROUND(('BS'!AT38+'BS'!AT33)*0.07/12,0)</f>
        <v>-834</v>
      </c>
      <c r="AU34" s="9">
        <f>-ROUND(('BS'!AU38+'BS'!AU33)*0.07/12,0)</f>
        <v>-770</v>
      </c>
      <c r="AV34" s="9">
        <f>-ROUND(('BS'!AV38+'BS'!AV33)*0.07/12,0)</f>
        <v>-910</v>
      </c>
      <c r="AW34" s="9">
        <f>-ROUND(('BS'!AW38+'BS'!AW33)*0.07/12,0)</f>
        <v>-986</v>
      </c>
      <c r="AX34" s="92">
        <f>AVERAGE(AM34:AW34)</f>
        <v>-989.0909090909091</v>
      </c>
      <c r="AY34" s="92">
        <f t="shared" si="20"/>
        <v>-974.5537190082646</v>
      </c>
      <c r="AZ34" s="92">
        <f t="shared" si="20"/>
        <v>-963.9676934635613</v>
      </c>
      <c r="BA34" s="92">
        <f t="shared" si="20"/>
        <v>-946.0556655966124</v>
      </c>
      <c r="BB34" s="92">
        <f t="shared" si="20"/>
        <v>-932.8789079235769</v>
      </c>
      <c r="BC34" s="92">
        <f t="shared" si="20"/>
        <v>-924.3224450075385</v>
      </c>
      <c r="BD34" s="92">
        <f t="shared" si="20"/>
        <v>-920.8063036445874</v>
      </c>
      <c r="BE34" s="92">
        <f t="shared" si="20"/>
        <v>-922.8796039759135</v>
      </c>
      <c r="BF34" s="92">
        <f t="shared" si="20"/>
        <v>-930.9595679737238</v>
      </c>
      <c r="BG34" s="92">
        <f t="shared" si="20"/>
        <v>-945.5922559713349</v>
      </c>
      <c r="BH34" s="92">
        <f t="shared" si="20"/>
        <v>-948.8279156050928</v>
      </c>
      <c r="BI34" s="92">
        <f t="shared" si="20"/>
        <v>-945.4486352055559</v>
      </c>
    </row>
    <row r="35" spans="1:61" ht="12.75">
      <c r="A35" s="10" t="s">
        <v>88</v>
      </c>
      <c r="B35" s="77">
        <f aca="true" t="shared" si="21" ref="B35:AG35">SUM(B32:B34)</f>
        <v>-8486</v>
      </c>
      <c r="C35" s="77">
        <f t="shared" si="21"/>
        <v>-12463</v>
      </c>
      <c r="D35" s="77">
        <f t="shared" si="21"/>
        <v>-12445</v>
      </c>
      <c r="E35" s="77">
        <f t="shared" si="21"/>
        <v>-12422</v>
      </c>
      <c r="F35" s="77">
        <f t="shared" si="21"/>
        <v>-12393</v>
      </c>
      <c r="G35" s="77">
        <f t="shared" si="21"/>
        <v>-12375</v>
      </c>
      <c r="H35" s="77">
        <f t="shared" si="21"/>
        <v>-12515</v>
      </c>
      <c r="I35" s="77">
        <f t="shared" si="21"/>
        <v>-12486</v>
      </c>
      <c r="J35" s="77">
        <f t="shared" si="21"/>
        <v>-12520</v>
      </c>
      <c r="K35" s="77">
        <f t="shared" si="21"/>
        <v>-11661</v>
      </c>
      <c r="L35" s="77">
        <f t="shared" si="21"/>
        <v>-12793</v>
      </c>
      <c r="M35" s="77">
        <f t="shared" si="21"/>
        <v>-14017</v>
      </c>
      <c r="N35" s="77">
        <f t="shared" si="21"/>
        <v>-9360</v>
      </c>
      <c r="O35" s="77">
        <f t="shared" si="21"/>
        <v>-9331</v>
      </c>
      <c r="P35" s="77">
        <f t="shared" si="21"/>
        <v>-9302</v>
      </c>
      <c r="Q35" s="77">
        <f t="shared" si="21"/>
        <v>-9704</v>
      </c>
      <c r="R35" s="77">
        <f t="shared" si="21"/>
        <v>-9693</v>
      </c>
      <c r="S35" s="77">
        <f t="shared" si="21"/>
        <v>-9652</v>
      </c>
      <c r="T35" s="77">
        <f t="shared" si="21"/>
        <v>-9605</v>
      </c>
      <c r="U35" s="77">
        <f t="shared" si="21"/>
        <v>-9564</v>
      </c>
      <c r="V35" s="77">
        <f t="shared" si="21"/>
        <v>-9518</v>
      </c>
      <c r="W35" s="77">
        <f t="shared" si="21"/>
        <v>-9628</v>
      </c>
      <c r="X35" s="77">
        <f t="shared" si="21"/>
        <v>-9588</v>
      </c>
      <c r="Y35" s="77">
        <f t="shared" si="21"/>
        <v>-9891</v>
      </c>
      <c r="Z35" s="77">
        <f t="shared" si="21"/>
        <v>-13494</v>
      </c>
      <c r="AA35" s="77">
        <f t="shared" si="21"/>
        <v>-13448</v>
      </c>
      <c r="AB35" s="77">
        <f t="shared" si="21"/>
        <v>-13401</v>
      </c>
      <c r="AC35" s="77">
        <f t="shared" si="21"/>
        <v>-13354</v>
      </c>
      <c r="AD35" s="77">
        <f t="shared" si="21"/>
        <v>-13757</v>
      </c>
      <c r="AE35" s="77">
        <f t="shared" si="21"/>
        <v>-13704</v>
      </c>
      <c r="AF35" s="77">
        <f t="shared" si="21"/>
        <v>-13546</v>
      </c>
      <c r="AG35" s="77">
        <f t="shared" si="21"/>
        <v>-13518</v>
      </c>
      <c r="AH35" s="77">
        <f aca="true" t="shared" si="22" ref="AH35:BM35">SUM(AH32:AH34)</f>
        <v>-13535</v>
      </c>
      <c r="AI35" s="77">
        <f t="shared" si="22"/>
        <v>-13477</v>
      </c>
      <c r="AJ35" s="77">
        <f t="shared" si="22"/>
        <v>-13424</v>
      </c>
      <c r="AK35" s="77">
        <f t="shared" si="22"/>
        <v>-13366</v>
      </c>
      <c r="AL35" s="77">
        <f t="shared" si="22"/>
        <v>-3308</v>
      </c>
      <c r="AM35" s="77">
        <f t="shared" si="22"/>
        <v>-3249</v>
      </c>
      <c r="AN35" s="77">
        <f t="shared" si="22"/>
        <v>-3191</v>
      </c>
      <c r="AO35" s="77">
        <f t="shared" si="22"/>
        <v>-3261</v>
      </c>
      <c r="AP35" s="77">
        <f t="shared" si="22"/>
        <v>-3191</v>
      </c>
      <c r="AQ35" s="77">
        <f t="shared" si="22"/>
        <v>-3127</v>
      </c>
      <c r="AR35" s="77">
        <f t="shared" si="22"/>
        <v>-3063</v>
      </c>
      <c r="AS35" s="77">
        <f t="shared" si="22"/>
        <v>-2998</v>
      </c>
      <c r="AT35" s="77">
        <f t="shared" si="22"/>
        <v>-2934</v>
      </c>
      <c r="AU35" s="77">
        <f t="shared" si="22"/>
        <v>-2870</v>
      </c>
      <c r="AV35" s="77">
        <f t="shared" si="22"/>
        <v>-3010</v>
      </c>
      <c r="AW35" s="77">
        <f t="shared" si="22"/>
        <v>-3086</v>
      </c>
      <c r="AX35" s="77">
        <f t="shared" si="22"/>
        <v>-3089.090909090909</v>
      </c>
      <c r="AY35" s="77">
        <f t="shared" si="22"/>
        <v>-3074.5537190082646</v>
      </c>
      <c r="AZ35" s="77">
        <f t="shared" si="22"/>
        <v>-3063.9676934635613</v>
      </c>
      <c r="BA35" s="77">
        <f t="shared" si="22"/>
        <v>-3046.0556655966125</v>
      </c>
      <c r="BB35" s="77">
        <f t="shared" si="22"/>
        <v>-3032.8789079235767</v>
      </c>
      <c r="BC35" s="77">
        <f t="shared" si="22"/>
        <v>-3024.3224450075386</v>
      </c>
      <c r="BD35" s="77">
        <f t="shared" si="22"/>
        <v>-3020.8063036445874</v>
      </c>
      <c r="BE35" s="77">
        <f t="shared" si="22"/>
        <v>-3022.8796039759136</v>
      </c>
      <c r="BF35" s="77">
        <f t="shared" si="22"/>
        <v>-3030.959567973724</v>
      </c>
      <c r="BG35" s="77">
        <f t="shared" si="22"/>
        <v>-3045.592255971335</v>
      </c>
      <c r="BH35" s="77">
        <f t="shared" si="22"/>
        <v>-3048.827915605093</v>
      </c>
      <c r="BI35" s="77">
        <f t="shared" si="22"/>
        <v>-3045.448635205556</v>
      </c>
    </row>
    <row r="36" ht="12.75">
      <c r="A36" s="11"/>
    </row>
    <row r="37" spans="1:61" ht="13.5" thickBot="1">
      <c r="A37" s="10" t="s">
        <v>1</v>
      </c>
      <c r="B37" s="37">
        <f aca="true" t="shared" si="23" ref="B37:AG37">B29+B35</f>
        <v>11014</v>
      </c>
      <c r="C37" s="37">
        <f t="shared" si="23"/>
        <v>-11963</v>
      </c>
      <c r="D37" s="37">
        <f t="shared" si="23"/>
        <v>-99945</v>
      </c>
      <c r="E37" s="37">
        <f t="shared" si="23"/>
        <v>-37922</v>
      </c>
      <c r="F37" s="37">
        <f t="shared" si="23"/>
        <v>15107</v>
      </c>
      <c r="G37" s="37">
        <f t="shared" si="23"/>
        <v>-62875</v>
      </c>
      <c r="H37" s="37">
        <f t="shared" si="23"/>
        <v>141985</v>
      </c>
      <c r="I37" s="37">
        <f t="shared" si="23"/>
        <v>-42986</v>
      </c>
      <c r="J37" s="37">
        <f t="shared" si="23"/>
        <v>94980</v>
      </c>
      <c r="K37" s="37">
        <f t="shared" si="23"/>
        <v>33839</v>
      </c>
      <c r="L37" s="37">
        <f t="shared" si="23"/>
        <v>-102293</v>
      </c>
      <c r="M37" s="37">
        <f t="shared" si="23"/>
        <v>127483</v>
      </c>
      <c r="N37" s="37">
        <f t="shared" si="23"/>
        <v>2140</v>
      </c>
      <c r="O37" s="37">
        <f t="shared" si="23"/>
        <v>-43831</v>
      </c>
      <c r="P37" s="37">
        <f t="shared" si="23"/>
        <v>-14802</v>
      </c>
      <c r="Q37" s="37">
        <f t="shared" si="23"/>
        <v>-34204</v>
      </c>
      <c r="R37" s="37">
        <f t="shared" si="23"/>
        <v>49807</v>
      </c>
      <c r="S37" s="37">
        <f t="shared" si="23"/>
        <v>83848</v>
      </c>
      <c r="T37" s="37">
        <f t="shared" si="23"/>
        <v>11895</v>
      </c>
      <c r="U37" s="37">
        <f t="shared" si="23"/>
        <v>-1064</v>
      </c>
      <c r="V37" s="37">
        <f t="shared" si="23"/>
        <v>-22018</v>
      </c>
      <c r="W37" s="37">
        <f t="shared" si="23"/>
        <v>65872</v>
      </c>
      <c r="X37" s="37">
        <f t="shared" si="23"/>
        <v>20912</v>
      </c>
      <c r="Y37" s="37">
        <f t="shared" si="23"/>
        <v>-22391</v>
      </c>
      <c r="Z37" s="37">
        <f t="shared" si="23"/>
        <v>165006</v>
      </c>
      <c r="AA37" s="37">
        <f t="shared" si="23"/>
        <v>-22948</v>
      </c>
      <c r="AB37" s="37">
        <f t="shared" si="23"/>
        <v>-253901</v>
      </c>
      <c r="AC37" s="37">
        <f t="shared" si="23"/>
        <v>23146</v>
      </c>
      <c r="AD37" s="37">
        <f t="shared" si="23"/>
        <v>42743</v>
      </c>
      <c r="AE37" s="37">
        <f t="shared" si="23"/>
        <v>106796</v>
      </c>
      <c r="AF37" s="37">
        <f t="shared" si="23"/>
        <v>26954</v>
      </c>
      <c r="AG37" s="37">
        <f t="shared" si="23"/>
        <v>20982</v>
      </c>
      <c r="AH37" s="37">
        <f aca="true" t="shared" si="24" ref="AH37:BI37">AH29+AH35</f>
        <v>-27035</v>
      </c>
      <c r="AI37" s="37">
        <f t="shared" si="24"/>
        <v>139023</v>
      </c>
      <c r="AJ37" s="37">
        <f t="shared" si="24"/>
        <v>31076</v>
      </c>
      <c r="AK37" s="37">
        <f t="shared" si="24"/>
        <v>-18866</v>
      </c>
      <c r="AL37" s="37">
        <f t="shared" si="24"/>
        <v>49192</v>
      </c>
      <c r="AM37" s="37">
        <f t="shared" si="24"/>
        <v>-41749</v>
      </c>
      <c r="AN37" s="37">
        <f t="shared" si="24"/>
        <v>-93691</v>
      </c>
      <c r="AO37" s="37">
        <f t="shared" si="24"/>
        <v>83239</v>
      </c>
      <c r="AP37" s="37">
        <f t="shared" si="24"/>
        <v>-9691</v>
      </c>
      <c r="AQ37" s="37">
        <f t="shared" si="24"/>
        <v>69373</v>
      </c>
      <c r="AR37" s="37">
        <f t="shared" si="24"/>
        <v>34437</v>
      </c>
      <c r="AS37" s="37">
        <f t="shared" si="24"/>
        <v>136502</v>
      </c>
      <c r="AT37" s="37">
        <f t="shared" si="24"/>
        <v>-2434</v>
      </c>
      <c r="AU37" s="37">
        <f t="shared" si="24"/>
        <v>68630</v>
      </c>
      <c r="AV37" s="37">
        <f t="shared" si="24"/>
        <v>20490</v>
      </c>
      <c r="AW37" s="37">
        <f t="shared" si="24"/>
        <v>14414</v>
      </c>
      <c r="AX37" s="37">
        <f t="shared" si="24"/>
        <v>30240.124522536298</v>
      </c>
      <c r="AY37" s="37">
        <f t="shared" si="24"/>
        <v>-13632.829779845819</v>
      </c>
      <c r="AZ37" s="37">
        <f t="shared" si="24"/>
        <v>-22699.22606999223</v>
      </c>
      <c r="BA37" s="37">
        <f t="shared" si="24"/>
        <v>50518.65864938967</v>
      </c>
      <c r="BB37" s="37">
        <f t="shared" si="24"/>
        <v>45464.36482148848</v>
      </c>
      <c r="BC37" s="37">
        <f t="shared" si="24"/>
        <v>67850.21846072238</v>
      </c>
      <c r="BD37" s="37">
        <f t="shared" si="24"/>
        <v>45717.2490159752</v>
      </c>
      <c r="BE37" s="37">
        <f t="shared" si="24"/>
        <v>107189.23498457801</v>
      </c>
      <c r="BF37" s="37">
        <f t="shared" si="24"/>
        <v>28690.831595093492</v>
      </c>
      <c r="BG37" s="37">
        <f t="shared" si="24"/>
        <v>46242.8781648537</v>
      </c>
      <c r="BH37" s="37">
        <f t="shared" si="24"/>
        <v>18327.15815081064</v>
      </c>
      <c r="BI37" s="37">
        <f t="shared" si="24"/>
        <v>-2892.249167794073</v>
      </c>
    </row>
    <row r="38" spans="1:61" ht="13.5" thickTop="1">
      <c r="A38" s="80" t="s">
        <v>202</v>
      </c>
      <c r="B38" s="75">
        <f aca="true" t="shared" si="25" ref="B38:AG38">B37/B7</f>
        <v>0.07342666666666667</v>
      </c>
      <c r="C38" s="75">
        <f t="shared" si="25"/>
        <v>-0.09494444444444444</v>
      </c>
      <c r="D38" s="75">
        <f t="shared" si="25"/>
        <v>-1.7231896551724137</v>
      </c>
      <c r="E38" s="75">
        <f t="shared" si="25"/>
        <v>-0.2400126582278481</v>
      </c>
      <c r="F38" s="75">
        <f t="shared" si="25"/>
        <v>0.05766030534351145</v>
      </c>
      <c r="G38" s="75">
        <f t="shared" si="25"/>
        <v>-0.3512569832402235</v>
      </c>
      <c r="H38" s="75">
        <f t="shared" si="25"/>
        <v>0.37562169312169313</v>
      </c>
      <c r="I38" s="75">
        <f t="shared" si="25"/>
        <v>-0.23235675675675677</v>
      </c>
      <c r="J38" s="75">
        <f t="shared" si="25"/>
        <v>0.2835223880597015</v>
      </c>
      <c r="K38" s="75">
        <f t="shared" si="25"/>
        <v>0.1235</v>
      </c>
      <c r="L38" s="75">
        <f t="shared" si="25"/>
        <v>-0.8316504065040651</v>
      </c>
      <c r="M38" s="75">
        <f t="shared" si="25"/>
        <v>0.44574475524475526</v>
      </c>
      <c r="N38" s="75">
        <f t="shared" si="25"/>
        <v>0.009907407407407408</v>
      </c>
      <c r="O38" s="75">
        <f t="shared" si="25"/>
        <v>-0.4021192660550459</v>
      </c>
      <c r="P38" s="75">
        <f t="shared" si="25"/>
        <v>-0.10964444444444445</v>
      </c>
      <c r="Q38" s="75">
        <f t="shared" si="25"/>
        <v>-0.1621042654028436</v>
      </c>
      <c r="R38" s="75">
        <f t="shared" si="25"/>
        <v>0.16437953795379537</v>
      </c>
      <c r="S38" s="75">
        <f t="shared" si="25"/>
        <v>0.21666149870801032</v>
      </c>
      <c r="T38" s="75">
        <f t="shared" si="25"/>
        <v>0.043097826086956524</v>
      </c>
      <c r="U38" s="75">
        <f t="shared" si="25"/>
        <v>-0.004140077821011673</v>
      </c>
      <c r="V38" s="75">
        <f t="shared" si="25"/>
        <v>-0.09174166666666667</v>
      </c>
      <c r="W38" s="75">
        <f t="shared" si="25"/>
        <v>0.2335886524822695</v>
      </c>
      <c r="X38" s="75">
        <f t="shared" si="25"/>
        <v>0.11814689265536724</v>
      </c>
      <c r="Y38" s="75">
        <f t="shared" si="25"/>
        <v>-0.111955</v>
      </c>
      <c r="Z38" s="75">
        <f t="shared" si="25"/>
        <v>0.3000109090909091</v>
      </c>
      <c r="AA38" s="75">
        <f t="shared" si="25"/>
        <v>-0.14253416149068324</v>
      </c>
      <c r="AB38" s="75">
        <f t="shared" si="25"/>
        <v>-4.377603448275862</v>
      </c>
      <c r="AC38" s="75">
        <f t="shared" si="25"/>
        <v>0.07324683544303798</v>
      </c>
      <c r="AD38" s="75">
        <f t="shared" si="25"/>
        <v>0.1303140243902439</v>
      </c>
      <c r="AE38" s="75">
        <f t="shared" si="25"/>
        <v>0.28555080213903744</v>
      </c>
      <c r="AF38" s="75">
        <f t="shared" si="25"/>
        <v>0.09262542955326461</v>
      </c>
      <c r="AG38" s="75">
        <f t="shared" si="25"/>
        <v>0.06970764119601329</v>
      </c>
      <c r="AH38" s="75">
        <f aca="true" t="shared" si="26" ref="AH38:BM38">AH37/AH7</f>
        <v>-0.15997041420118344</v>
      </c>
      <c r="AI38" s="75">
        <f t="shared" si="26"/>
        <v>0.40413662790697674</v>
      </c>
      <c r="AJ38" s="75">
        <f t="shared" si="26"/>
        <v>0.14255045871559632</v>
      </c>
      <c r="AK38" s="75">
        <f t="shared" si="26"/>
        <v>-0.16695575221238937</v>
      </c>
      <c r="AL38" s="75">
        <f t="shared" si="26"/>
        <v>0.2138782608695652</v>
      </c>
      <c r="AM38" s="75">
        <f t="shared" si="26"/>
        <v>-0.36621929824561406</v>
      </c>
      <c r="AN38" s="75">
        <f t="shared" si="26"/>
        <v>-0.9658865979381444</v>
      </c>
      <c r="AO38" s="75">
        <f t="shared" si="26"/>
        <v>0.2972821428571429</v>
      </c>
      <c r="AP38" s="75">
        <f t="shared" si="26"/>
        <v>-0.03616044776119403</v>
      </c>
      <c r="AQ38" s="75">
        <f t="shared" si="26"/>
        <v>0.21544409937888198</v>
      </c>
      <c r="AR38" s="75">
        <f t="shared" si="26"/>
        <v>0.12946240601503758</v>
      </c>
      <c r="AS38" s="75">
        <f t="shared" si="26"/>
        <v>0.33212165450121656</v>
      </c>
      <c r="AT38" s="75">
        <f t="shared" si="26"/>
        <v>-0.011216589861751152</v>
      </c>
      <c r="AU38" s="75">
        <f t="shared" si="26"/>
        <v>0.2660077519379845</v>
      </c>
      <c r="AV38" s="75">
        <f t="shared" si="26"/>
        <v>0.10561855670103093</v>
      </c>
      <c r="AW38" s="75">
        <f t="shared" si="26"/>
        <v>0.09872602739726027</v>
      </c>
      <c r="AX38" s="75">
        <f t="shared" si="26"/>
        <v>0.11952618388354266</v>
      </c>
      <c r="AY38" s="75">
        <f t="shared" si="26"/>
        <v>-0.10871475103545308</v>
      </c>
      <c r="AZ38" s="75">
        <f t="shared" si="26"/>
        <v>-0.21273876354257007</v>
      </c>
      <c r="BA38" s="75">
        <f t="shared" si="26"/>
        <v>0.1640216189915249</v>
      </c>
      <c r="BB38" s="75">
        <f t="shared" si="26"/>
        <v>0.15422104756271535</v>
      </c>
      <c r="BC38" s="75">
        <f t="shared" si="26"/>
        <v>0.19155905833066736</v>
      </c>
      <c r="BD38" s="75">
        <f t="shared" si="26"/>
        <v>0.15624487018446753</v>
      </c>
      <c r="BE38" s="75">
        <f t="shared" si="26"/>
        <v>0.23709187123330677</v>
      </c>
      <c r="BF38" s="75">
        <f t="shared" si="26"/>
        <v>0.12019619436570377</v>
      </c>
      <c r="BG38" s="75">
        <f t="shared" si="26"/>
        <v>0.16294178352661626</v>
      </c>
      <c r="BH38" s="75">
        <f t="shared" si="26"/>
        <v>0.0858817157957387</v>
      </c>
      <c r="BI38" s="75">
        <f t="shared" si="26"/>
        <v>-0.0180090234607352</v>
      </c>
    </row>
    <row r="39" spans="1:61" s="76" customFormat="1" ht="12.75">
      <c r="A39" s="12" t="s">
        <v>126</v>
      </c>
      <c r="B39" s="76">
        <f>SUM($B$37:B37)</f>
        <v>11014</v>
      </c>
      <c r="C39" s="76">
        <f>SUM($B$37:C37)</f>
        <v>-949</v>
      </c>
      <c r="D39" s="76">
        <f>SUM($B$37:D37)</f>
        <v>-100894</v>
      </c>
      <c r="E39" s="76">
        <f>SUM($B$37:E37)</f>
        <v>-138816</v>
      </c>
      <c r="F39" s="76">
        <f>SUM($B$37:F37)</f>
        <v>-123709</v>
      </c>
      <c r="G39" s="76">
        <f>SUM($B$37:G37)</f>
        <v>-186584</v>
      </c>
      <c r="H39" s="76">
        <f>SUM($B$37:H37)</f>
        <v>-44599</v>
      </c>
      <c r="I39" s="76">
        <f>SUM($B$37:I37)</f>
        <v>-87585</v>
      </c>
      <c r="J39" s="76">
        <f>SUM($B$37:J37)</f>
        <v>7395</v>
      </c>
      <c r="K39" s="76">
        <f>SUM($B$37:K37)</f>
        <v>41234</v>
      </c>
      <c r="L39" s="76">
        <f>SUM($B$37:L37)</f>
        <v>-61059</v>
      </c>
      <c r="M39" s="76">
        <f>SUM($B$37:M37)</f>
        <v>66424</v>
      </c>
      <c r="N39" s="76">
        <f>SUM($N$37:N37)</f>
        <v>2140</v>
      </c>
      <c r="O39" s="76">
        <f>SUM($N$37:O37)</f>
        <v>-41691</v>
      </c>
      <c r="P39" s="76">
        <f>SUM($N$37:P37)</f>
        <v>-56493</v>
      </c>
      <c r="Q39" s="76">
        <f>SUM($N$37:Q37)</f>
        <v>-90697</v>
      </c>
      <c r="R39" s="76">
        <f>SUM($N$37:R37)</f>
        <v>-40890</v>
      </c>
      <c r="S39" s="76">
        <f>SUM($N$37:S37)</f>
        <v>42958</v>
      </c>
      <c r="T39" s="76">
        <f>SUM($N$37:T37)</f>
        <v>54853</v>
      </c>
      <c r="U39" s="76">
        <f>SUM($N$37:U37)</f>
        <v>53789</v>
      </c>
      <c r="V39" s="76">
        <f>SUM($N$37:V37)</f>
        <v>31771</v>
      </c>
      <c r="W39" s="76">
        <f>SUM($N$37:W37)</f>
        <v>97643</v>
      </c>
      <c r="X39" s="76">
        <f>SUM($N$37:X37)</f>
        <v>118555</v>
      </c>
      <c r="Y39" s="76">
        <f>SUM($N$37:Y37)</f>
        <v>96164</v>
      </c>
      <c r="Z39" s="76">
        <f>SUM($Z$37:Z37)</f>
        <v>165006</v>
      </c>
      <c r="AA39" s="76">
        <f>SUM($Z$37:AA37)</f>
        <v>142058</v>
      </c>
      <c r="AB39" s="82">
        <f>SUM($Z$37:AB37)</f>
        <v>-111843</v>
      </c>
      <c r="AC39" s="76">
        <f>SUM($Z$37:AC37)</f>
        <v>-88697</v>
      </c>
      <c r="AD39" s="76">
        <f>SUM($Z$37:AD37)</f>
        <v>-45954</v>
      </c>
      <c r="AE39" s="76">
        <f>SUM($Z$37:AE37)</f>
        <v>60842</v>
      </c>
      <c r="AF39" s="76">
        <f>SUM($Z$37:AF37)</f>
        <v>87796</v>
      </c>
      <c r="AG39" s="76">
        <f>SUM($Z$37:AG37)</f>
        <v>108778</v>
      </c>
      <c r="AH39" s="76">
        <f>SUM($Z$37:AH37)</f>
        <v>81743</v>
      </c>
      <c r="AI39" s="76">
        <f>SUM($Z$37:AI37)</f>
        <v>220766</v>
      </c>
      <c r="AJ39" s="76">
        <f>SUM($Z$37:AJ37)</f>
        <v>251842</v>
      </c>
      <c r="AK39" s="76">
        <f>SUM($Z$37:AK37)</f>
        <v>232976</v>
      </c>
      <c r="AL39" s="76">
        <f>SUM($AL$37:AL37)</f>
        <v>49192</v>
      </c>
      <c r="AM39" s="76">
        <f>SUM($AL$37:AM37)</f>
        <v>7443</v>
      </c>
      <c r="AN39" s="76">
        <f>SUM($AL$37:AN37)</f>
        <v>-86248</v>
      </c>
      <c r="AO39" s="76">
        <f>SUM($AL$37:AO37)</f>
        <v>-3009</v>
      </c>
      <c r="AP39" s="76">
        <f>SUM($AL$37:AP37)</f>
        <v>-12700</v>
      </c>
      <c r="AQ39" s="76">
        <f>SUM($AL$37:AQ37)</f>
        <v>56673</v>
      </c>
      <c r="AR39" s="76">
        <f>SUM($AL$37:AR37)</f>
        <v>91110</v>
      </c>
      <c r="AS39" s="76">
        <f>SUM($AL$37:AS37)</f>
        <v>227612</v>
      </c>
      <c r="AT39" s="76">
        <f>SUM($AL$37:AT37)</f>
        <v>225178</v>
      </c>
      <c r="AU39" s="76">
        <f>SUM($AL$37:AU37)</f>
        <v>293808</v>
      </c>
      <c r="AV39" s="76">
        <f>SUM($AL$37:AV37)</f>
        <v>314298</v>
      </c>
      <c r="AW39" s="76">
        <f>SUM($AL$37:AW37)</f>
        <v>328712</v>
      </c>
      <c r="AX39" s="76">
        <f>SUM($AX$37:AX37)</f>
        <v>30240.124522536298</v>
      </c>
      <c r="AY39" s="76">
        <f>SUM($AX$37:AY37)</f>
        <v>16607.29474269048</v>
      </c>
      <c r="AZ39" s="76">
        <f>SUM($AX$37:AZ37)</f>
        <v>-6091.931327301751</v>
      </c>
      <c r="BA39" s="76">
        <f>SUM($AX$37:BA37)</f>
        <v>44426.727322087914</v>
      </c>
      <c r="BB39" s="76">
        <f>SUM($AX$37:BB37)</f>
        <v>89891.09214357639</v>
      </c>
      <c r="BC39" s="76">
        <f>SUM($AX$37:BC37)</f>
        <v>157741.31060429878</v>
      </c>
      <c r="BD39" s="76">
        <f>SUM($AX$37:BD37)</f>
        <v>203458.55962027397</v>
      </c>
      <c r="BE39" s="76">
        <f>SUM($AX$37:BE37)</f>
        <v>310647.794604852</v>
      </c>
      <c r="BF39" s="76">
        <f>SUM($AX$37:BF37)</f>
        <v>339338.62619994546</v>
      </c>
      <c r="BG39" s="76">
        <f>SUM($AX$37:BG37)</f>
        <v>385581.5043647991</v>
      </c>
      <c r="BH39" s="76">
        <f>SUM($AX$37:BH37)</f>
        <v>403908.66251560976</v>
      </c>
      <c r="BI39" s="76">
        <f>SUM($AX$37:BI37)</f>
        <v>401016.4133478157</v>
      </c>
    </row>
    <row r="40" spans="1:45" ht="15">
      <c r="A40" s="13" t="s">
        <v>89</v>
      </c>
      <c r="AS40" s="4" t="e">
        <f>+AS39/SUM(#REF!)</f>
        <v>#REF!</v>
      </c>
    </row>
    <row r="41" spans="1:61" s="26" customFormat="1" ht="12.75">
      <c r="A41" s="93" t="s">
        <v>90</v>
      </c>
      <c r="B41" s="28">
        <v>0.1</v>
      </c>
      <c r="C41" s="28">
        <v>0.1</v>
      </c>
      <c r="D41" s="28">
        <v>0.1</v>
      </c>
      <c r="E41" s="28">
        <v>0.1</v>
      </c>
      <c r="F41" s="28">
        <v>0.1</v>
      </c>
      <c r="G41" s="28">
        <v>0.1</v>
      </c>
      <c r="H41" s="28">
        <v>0.1</v>
      </c>
      <c r="I41" s="28">
        <v>0.1</v>
      </c>
      <c r="J41" s="28">
        <v>0.1</v>
      </c>
      <c r="K41" s="28">
        <v>0.1</v>
      </c>
      <c r="L41" s="28">
        <v>0.1</v>
      </c>
      <c r="M41" s="28">
        <v>0.1</v>
      </c>
      <c r="N41" s="28">
        <v>0.1</v>
      </c>
      <c r="O41" s="28">
        <v>0.1</v>
      </c>
      <c r="P41" s="28">
        <v>0.1</v>
      </c>
      <c r="Q41" s="28">
        <v>0.1</v>
      </c>
      <c r="R41" s="28">
        <v>0.1</v>
      </c>
      <c r="S41" s="28">
        <v>0.1</v>
      </c>
      <c r="T41" s="28">
        <v>0.1</v>
      </c>
      <c r="U41" s="28">
        <v>0.1</v>
      </c>
      <c r="V41" s="28">
        <v>0.1</v>
      </c>
      <c r="W41" s="28">
        <v>0.1</v>
      </c>
      <c r="X41" s="28">
        <v>0.1</v>
      </c>
      <c r="Y41" s="28">
        <v>0.1</v>
      </c>
      <c r="Z41" s="28">
        <v>0.1</v>
      </c>
      <c r="AA41" s="28">
        <v>0.1</v>
      </c>
      <c r="AB41" s="28">
        <v>0.1</v>
      </c>
      <c r="AC41" s="28">
        <v>0.1</v>
      </c>
      <c r="AD41" s="28">
        <v>0.1</v>
      </c>
      <c r="AE41" s="28">
        <v>0.1</v>
      </c>
      <c r="AF41" s="28">
        <v>0.1</v>
      </c>
      <c r="AG41" s="28">
        <v>0.1</v>
      </c>
      <c r="AH41" s="28">
        <v>0.1</v>
      </c>
      <c r="AI41" s="28">
        <v>0.1</v>
      </c>
      <c r="AJ41" s="28">
        <v>0.1</v>
      </c>
      <c r="AK41" s="28">
        <v>0.1</v>
      </c>
      <c r="AL41" s="28">
        <v>0.1</v>
      </c>
      <c r="AM41" s="28">
        <v>0.1</v>
      </c>
      <c r="AN41" s="28">
        <v>0.1</v>
      </c>
      <c r="AO41" s="28">
        <v>0.1</v>
      </c>
      <c r="AP41" s="28">
        <v>0.1</v>
      </c>
      <c r="AQ41" s="28">
        <v>0.1</v>
      </c>
      <c r="AR41" s="28">
        <v>0.1</v>
      </c>
      <c r="AS41" s="28">
        <v>0.1</v>
      </c>
      <c r="AT41" s="28">
        <v>0.1</v>
      </c>
      <c r="AU41" s="28">
        <v>0.1</v>
      </c>
      <c r="AV41" s="28">
        <v>0.1</v>
      </c>
      <c r="AW41" s="28">
        <v>0.1</v>
      </c>
      <c r="AX41" s="28">
        <v>1.1</v>
      </c>
      <c r="AY41" s="28">
        <v>2.1</v>
      </c>
      <c r="AZ41" s="28">
        <v>3.1</v>
      </c>
      <c r="BA41" s="28">
        <v>4.1</v>
      </c>
      <c r="BB41" s="28">
        <v>5.1</v>
      </c>
      <c r="BC41" s="28">
        <v>6.1</v>
      </c>
      <c r="BD41" s="28">
        <v>7.1</v>
      </c>
      <c r="BE41" s="28">
        <v>8.1</v>
      </c>
      <c r="BF41" s="28">
        <v>9.1</v>
      </c>
      <c r="BG41" s="28">
        <v>10.1</v>
      </c>
      <c r="BH41" s="28">
        <v>11.1</v>
      </c>
      <c r="BI41" s="28">
        <v>12.1</v>
      </c>
    </row>
    <row r="43" spans="1:61" ht="12.75">
      <c r="A43" s="14" t="s">
        <v>100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26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1</v>
      </c>
      <c r="AY43" s="5">
        <v>2</v>
      </c>
      <c r="AZ43" s="5">
        <v>3</v>
      </c>
      <c r="BA43" s="5">
        <v>4</v>
      </c>
      <c r="BB43" s="5">
        <v>5</v>
      </c>
      <c r="BC43" s="5">
        <v>6</v>
      </c>
      <c r="BD43" s="5">
        <v>7</v>
      </c>
      <c r="BE43" s="5">
        <v>8</v>
      </c>
      <c r="BF43" s="5">
        <v>9</v>
      </c>
      <c r="BG43" s="5">
        <v>10</v>
      </c>
      <c r="BH43" s="5">
        <v>11</v>
      </c>
      <c r="BI43" s="5">
        <v>12</v>
      </c>
    </row>
    <row r="45" spans="1:61" ht="12.75">
      <c r="A45" s="14" t="s">
        <v>92</v>
      </c>
      <c r="B45" s="5">
        <f aca="true" t="shared" si="27" ref="B45:AG45">B11</f>
        <v>110000</v>
      </c>
      <c r="C45" s="5">
        <f t="shared" si="27"/>
        <v>81000</v>
      </c>
      <c r="D45" s="5">
        <f t="shared" si="27"/>
        <v>-29000</v>
      </c>
      <c r="E45" s="5">
        <f t="shared" si="27"/>
        <v>107000</v>
      </c>
      <c r="F45" s="5">
        <f t="shared" si="27"/>
        <v>149000</v>
      </c>
      <c r="G45" s="5">
        <f t="shared" si="27"/>
        <v>78000</v>
      </c>
      <c r="H45" s="5">
        <f t="shared" si="27"/>
        <v>282000</v>
      </c>
      <c r="I45" s="5">
        <f t="shared" si="27"/>
        <v>94000</v>
      </c>
      <c r="J45" s="5">
        <f t="shared" si="27"/>
        <v>233000</v>
      </c>
      <c r="K45" s="5">
        <f t="shared" si="27"/>
        <v>200000</v>
      </c>
      <c r="L45" s="5">
        <f t="shared" si="27"/>
        <v>11000</v>
      </c>
      <c r="M45" s="5">
        <f t="shared" si="27"/>
        <v>293000</v>
      </c>
      <c r="N45" s="5">
        <f t="shared" si="27"/>
        <v>132000</v>
      </c>
      <c r="O45" s="5">
        <f t="shared" si="27"/>
        <v>77000</v>
      </c>
      <c r="P45" s="5">
        <f t="shared" si="27"/>
        <v>101000</v>
      </c>
      <c r="Q45" s="5">
        <f t="shared" si="27"/>
        <v>125000</v>
      </c>
      <c r="R45" s="5">
        <f t="shared" si="27"/>
        <v>208000</v>
      </c>
      <c r="S45" s="5">
        <f t="shared" si="27"/>
        <v>276000</v>
      </c>
      <c r="T45" s="5">
        <f t="shared" si="27"/>
        <v>164000</v>
      </c>
      <c r="U45" s="5">
        <f t="shared" si="27"/>
        <v>170000</v>
      </c>
      <c r="V45" s="5">
        <f t="shared" si="27"/>
        <v>163000</v>
      </c>
      <c r="W45" s="5">
        <f t="shared" si="27"/>
        <v>195000</v>
      </c>
      <c r="X45" s="5">
        <f t="shared" si="27"/>
        <v>124000</v>
      </c>
      <c r="Y45" s="5">
        <f t="shared" si="27"/>
        <v>143000</v>
      </c>
      <c r="Z45" s="5">
        <f t="shared" si="27"/>
        <v>475000</v>
      </c>
      <c r="AA45" s="5">
        <f t="shared" si="27"/>
        <v>106000</v>
      </c>
      <c r="AB45" s="5">
        <f t="shared" si="27"/>
        <v>-143000</v>
      </c>
      <c r="AC45" s="5">
        <f t="shared" si="27"/>
        <v>193000</v>
      </c>
      <c r="AD45" s="5">
        <f t="shared" si="27"/>
        <v>204000</v>
      </c>
      <c r="AE45" s="5">
        <f t="shared" si="27"/>
        <v>254000</v>
      </c>
      <c r="AF45" s="5">
        <f t="shared" si="27"/>
        <v>190000</v>
      </c>
      <c r="AG45" s="5">
        <f t="shared" si="27"/>
        <v>227000</v>
      </c>
      <c r="AH45" s="5">
        <f aca="true" t="shared" si="28" ref="AH45:BI45">AH11</f>
        <v>111000</v>
      </c>
      <c r="AI45" s="5">
        <f t="shared" si="28"/>
        <v>276000</v>
      </c>
      <c r="AJ45" s="5">
        <f t="shared" si="28"/>
        <v>155000</v>
      </c>
      <c r="AK45" s="5">
        <f t="shared" si="28"/>
        <v>86000</v>
      </c>
      <c r="AL45" s="5">
        <f t="shared" si="28"/>
        <v>176000</v>
      </c>
      <c r="AM45" s="5">
        <f t="shared" si="28"/>
        <v>71000</v>
      </c>
      <c r="AN45" s="5">
        <f t="shared" si="28"/>
        <v>15000</v>
      </c>
      <c r="AO45" s="5">
        <f t="shared" si="28"/>
        <v>199000</v>
      </c>
      <c r="AP45" s="5">
        <f t="shared" si="28"/>
        <v>146000</v>
      </c>
      <c r="AQ45" s="5">
        <f t="shared" si="28"/>
        <v>222000</v>
      </c>
      <c r="AR45" s="5">
        <f t="shared" si="28"/>
        <v>190000</v>
      </c>
      <c r="AS45" s="5">
        <f t="shared" si="28"/>
        <v>332000</v>
      </c>
      <c r="AT45" s="5">
        <f t="shared" si="28"/>
        <v>157000</v>
      </c>
      <c r="AU45" s="5">
        <f t="shared" si="28"/>
        <v>203000</v>
      </c>
      <c r="AV45" s="5">
        <f t="shared" si="28"/>
        <v>121000</v>
      </c>
      <c r="AW45" s="5">
        <f t="shared" si="28"/>
        <v>114000</v>
      </c>
      <c r="AX45" s="5">
        <f t="shared" si="28"/>
        <v>174570</v>
      </c>
      <c r="AY45" s="5">
        <f t="shared" si="28"/>
        <v>86526</v>
      </c>
      <c r="AZ45" s="5">
        <f t="shared" si="28"/>
        <v>73623</v>
      </c>
      <c r="BA45" s="5">
        <f t="shared" si="28"/>
        <v>212519.99999999997</v>
      </c>
      <c r="BB45" s="5">
        <f t="shared" si="28"/>
        <v>203411.99999999997</v>
      </c>
      <c r="BC45" s="5">
        <f t="shared" si="28"/>
        <v>244397.99999999997</v>
      </c>
      <c r="BD45" s="5">
        <f t="shared" si="28"/>
        <v>201893.99999999997</v>
      </c>
      <c r="BE45" s="5">
        <f t="shared" si="28"/>
        <v>311949</v>
      </c>
      <c r="BF45" s="5">
        <f t="shared" si="28"/>
        <v>164703</v>
      </c>
      <c r="BG45" s="5">
        <f t="shared" si="28"/>
        <v>195821.99999999997</v>
      </c>
      <c r="BH45" s="5">
        <f t="shared" si="28"/>
        <v>147246</v>
      </c>
      <c r="BI45" s="5">
        <f t="shared" si="28"/>
        <v>110813.99999999999</v>
      </c>
    </row>
    <row r="46" spans="1:61" ht="12.75">
      <c r="A46" s="14" t="s">
        <v>93</v>
      </c>
      <c r="B46" s="5">
        <f aca="true" t="shared" si="29" ref="B46:AN46">+B22+B14</f>
        <v>39000</v>
      </c>
      <c r="C46" s="5">
        <f t="shared" si="29"/>
        <v>43000</v>
      </c>
      <c r="D46" s="5">
        <f t="shared" si="29"/>
        <v>39000</v>
      </c>
      <c r="E46" s="5">
        <f t="shared" si="29"/>
        <v>83000</v>
      </c>
      <c r="F46" s="5">
        <f t="shared" si="29"/>
        <v>74000</v>
      </c>
      <c r="G46" s="5">
        <f t="shared" si="29"/>
        <v>85000</v>
      </c>
      <c r="H46" s="5">
        <f t="shared" si="29"/>
        <v>75000</v>
      </c>
      <c r="I46" s="5">
        <f t="shared" si="29"/>
        <v>79000</v>
      </c>
      <c r="J46" s="5">
        <f t="shared" si="29"/>
        <v>77000</v>
      </c>
      <c r="K46" s="5">
        <f t="shared" si="29"/>
        <v>117000</v>
      </c>
      <c r="L46" s="5">
        <f t="shared" si="29"/>
        <v>68000</v>
      </c>
      <c r="M46" s="5">
        <f t="shared" si="29"/>
        <v>51000</v>
      </c>
      <c r="N46" s="5">
        <f t="shared" si="29"/>
        <v>62000</v>
      </c>
      <c r="O46" s="5">
        <f t="shared" si="29"/>
        <v>62000</v>
      </c>
      <c r="P46" s="5">
        <f t="shared" si="29"/>
        <v>65000</v>
      </c>
      <c r="Q46" s="5">
        <f t="shared" si="29"/>
        <v>109000</v>
      </c>
      <c r="R46" s="5">
        <f t="shared" si="29"/>
        <v>104000</v>
      </c>
      <c r="S46" s="5">
        <f t="shared" si="29"/>
        <v>97000</v>
      </c>
      <c r="T46" s="5">
        <f t="shared" si="29"/>
        <v>103000</v>
      </c>
      <c r="U46" s="5">
        <f t="shared" si="29"/>
        <v>103000</v>
      </c>
      <c r="V46" s="5">
        <f t="shared" si="29"/>
        <v>115000</v>
      </c>
      <c r="W46" s="5">
        <f t="shared" si="29"/>
        <v>77000</v>
      </c>
      <c r="X46" s="5">
        <f t="shared" si="29"/>
        <v>62000</v>
      </c>
      <c r="Y46" s="5">
        <f t="shared" si="29"/>
        <v>67000</v>
      </c>
      <c r="Z46" s="5">
        <f t="shared" si="29"/>
        <v>85000</v>
      </c>
      <c r="AA46" s="5">
        <f t="shared" si="29"/>
        <v>59000</v>
      </c>
      <c r="AB46" s="5">
        <f t="shared" si="29"/>
        <v>59000</v>
      </c>
      <c r="AC46" s="5">
        <f t="shared" si="29"/>
        <v>101000</v>
      </c>
      <c r="AD46" s="5">
        <f t="shared" si="29"/>
        <v>93000</v>
      </c>
      <c r="AE46" s="5">
        <f t="shared" si="29"/>
        <v>86000</v>
      </c>
      <c r="AF46" s="5">
        <f t="shared" si="29"/>
        <v>89000</v>
      </c>
      <c r="AG46" s="5">
        <f t="shared" si="29"/>
        <v>129000</v>
      </c>
      <c r="AH46" s="5">
        <f t="shared" si="29"/>
        <v>77000</v>
      </c>
      <c r="AI46" s="5">
        <f t="shared" si="29"/>
        <v>79000</v>
      </c>
      <c r="AJ46" s="5">
        <f t="shared" si="29"/>
        <v>60000</v>
      </c>
      <c r="AK46" s="5">
        <f t="shared" si="29"/>
        <v>44000</v>
      </c>
      <c r="AL46" s="5">
        <f t="shared" si="29"/>
        <v>46000</v>
      </c>
      <c r="AM46" s="5">
        <f t="shared" si="29"/>
        <v>58000</v>
      </c>
      <c r="AN46" s="5">
        <f t="shared" si="29"/>
        <v>70000</v>
      </c>
      <c r="AO46" s="5">
        <f aca="true" t="shared" si="30" ref="AO46:BI46">+AO22</f>
        <v>36000</v>
      </c>
      <c r="AP46" s="5">
        <f t="shared" si="30"/>
        <v>34000</v>
      </c>
      <c r="AQ46" s="5">
        <f t="shared" si="30"/>
        <v>34000</v>
      </c>
      <c r="AR46" s="5">
        <f t="shared" si="30"/>
        <v>33000</v>
      </c>
      <c r="AS46" s="5">
        <f t="shared" si="30"/>
        <v>49000</v>
      </c>
      <c r="AT46" s="5">
        <f t="shared" si="30"/>
        <v>34000</v>
      </c>
      <c r="AU46" s="5">
        <f t="shared" si="30"/>
        <v>33000</v>
      </c>
      <c r="AV46" s="5">
        <f t="shared" si="30"/>
        <v>32000</v>
      </c>
      <c r="AW46" s="5">
        <f t="shared" si="30"/>
        <v>30000</v>
      </c>
      <c r="AX46" s="5">
        <f t="shared" si="30"/>
        <v>38141.34453781513</v>
      </c>
      <c r="AY46" s="5">
        <f t="shared" si="30"/>
        <v>18904.840336134454</v>
      </c>
      <c r="AZ46" s="5">
        <f t="shared" si="30"/>
        <v>16085.697478991597</v>
      </c>
      <c r="BA46" s="5">
        <f t="shared" si="30"/>
        <v>46432.94117647059</v>
      </c>
      <c r="BB46" s="5">
        <f t="shared" si="30"/>
        <v>44442.95798319327</v>
      </c>
      <c r="BC46" s="5">
        <f t="shared" si="30"/>
        <v>53397.88235294117</v>
      </c>
      <c r="BD46" s="5">
        <f t="shared" si="30"/>
        <v>44111.294117647056</v>
      </c>
      <c r="BE46" s="5">
        <f t="shared" si="30"/>
        <v>68156.9243697479</v>
      </c>
      <c r="BF46" s="5">
        <f t="shared" si="30"/>
        <v>35985.529411764706</v>
      </c>
      <c r="BG46" s="5">
        <f t="shared" si="30"/>
        <v>42784.63865546218</v>
      </c>
      <c r="BH46" s="5">
        <f t="shared" si="30"/>
        <v>32171.394957983193</v>
      </c>
      <c r="BI46" s="5">
        <f t="shared" si="30"/>
        <v>24211.462184873944</v>
      </c>
    </row>
    <row r="47" spans="1:61" ht="12.75">
      <c r="A47" s="14" t="s">
        <v>94</v>
      </c>
      <c r="B47" s="5">
        <f>B43+B46</f>
        <v>39000</v>
      </c>
      <c r="C47" s="5">
        <f>C43+C46</f>
        <v>43000</v>
      </c>
      <c r="D47" s="5">
        <f aca="true" t="shared" si="31" ref="D47:AW47">D43+D46</f>
        <v>39000</v>
      </c>
      <c r="E47" s="5">
        <f t="shared" si="31"/>
        <v>83000</v>
      </c>
      <c r="F47" s="5">
        <f t="shared" si="31"/>
        <v>74000</v>
      </c>
      <c r="G47" s="5">
        <f t="shared" si="31"/>
        <v>85000</v>
      </c>
      <c r="H47" s="5">
        <f t="shared" si="31"/>
        <v>75000</v>
      </c>
      <c r="I47" s="5">
        <f t="shared" si="31"/>
        <v>79000</v>
      </c>
      <c r="J47" s="5">
        <f t="shared" si="31"/>
        <v>77000</v>
      </c>
      <c r="K47" s="5">
        <f t="shared" si="31"/>
        <v>117000</v>
      </c>
      <c r="L47" s="5">
        <f t="shared" si="31"/>
        <v>68000</v>
      </c>
      <c r="M47" s="5">
        <f t="shared" si="31"/>
        <v>51000</v>
      </c>
      <c r="N47" s="5">
        <f t="shared" si="31"/>
        <v>62000</v>
      </c>
      <c r="O47" s="5">
        <f t="shared" si="31"/>
        <v>62000</v>
      </c>
      <c r="P47" s="5">
        <f t="shared" si="31"/>
        <v>65000</v>
      </c>
      <c r="Q47" s="5">
        <f t="shared" si="31"/>
        <v>109000</v>
      </c>
      <c r="R47" s="5">
        <f t="shared" si="31"/>
        <v>104000</v>
      </c>
      <c r="S47" s="5">
        <f t="shared" si="31"/>
        <v>97000</v>
      </c>
      <c r="T47" s="5">
        <f t="shared" si="31"/>
        <v>103000</v>
      </c>
      <c r="U47" s="5">
        <f t="shared" si="31"/>
        <v>103000</v>
      </c>
      <c r="V47" s="5">
        <f t="shared" si="31"/>
        <v>115000</v>
      </c>
      <c r="W47" s="5">
        <f t="shared" si="31"/>
        <v>77000</v>
      </c>
      <c r="X47" s="5">
        <f t="shared" si="31"/>
        <v>62000</v>
      </c>
      <c r="Y47" s="5">
        <f t="shared" si="31"/>
        <v>67000</v>
      </c>
      <c r="Z47" s="5">
        <f t="shared" si="31"/>
        <v>85000</v>
      </c>
      <c r="AA47" s="5">
        <f t="shared" si="31"/>
        <v>59000</v>
      </c>
      <c r="AB47" s="26">
        <f t="shared" si="31"/>
        <v>59000</v>
      </c>
      <c r="AC47" s="5">
        <f t="shared" si="31"/>
        <v>101000</v>
      </c>
      <c r="AD47" s="5">
        <f t="shared" si="31"/>
        <v>93000</v>
      </c>
      <c r="AE47" s="5">
        <f t="shared" si="31"/>
        <v>86000</v>
      </c>
      <c r="AF47" s="5">
        <f t="shared" si="31"/>
        <v>89000</v>
      </c>
      <c r="AG47" s="5">
        <f t="shared" si="31"/>
        <v>129000</v>
      </c>
      <c r="AH47" s="5">
        <f t="shared" si="31"/>
        <v>77000</v>
      </c>
      <c r="AI47" s="5">
        <f t="shared" si="31"/>
        <v>79000</v>
      </c>
      <c r="AJ47" s="5">
        <f t="shared" si="31"/>
        <v>60000</v>
      </c>
      <c r="AK47" s="5">
        <f t="shared" si="31"/>
        <v>44000</v>
      </c>
      <c r="AL47" s="5">
        <f t="shared" si="31"/>
        <v>46000</v>
      </c>
      <c r="AM47" s="5">
        <f t="shared" si="31"/>
        <v>58000</v>
      </c>
      <c r="AN47" s="5">
        <f t="shared" si="31"/>
        <v>70000</v>
      </c>
      <c r="AO47" s="5">
        <f t="shared" si="31"/>
        <v>36000</v>
      </c>
      <c r="AP47" s="5">
        <f t="shared" si="31"/>
        <v>34000</v>
      </c>
      <c r="AQ47" s="5">
        <f t="shared" si="31"/>
        <v>34000</v>
      </c>
      <c r="AR47" s="5">
        <f t="shared" si="31"/>
        <v>33000</v>
      </c>
      <c r="AS47" s="5">
        <f t="shared" si="31"/>
        <v>49000</v>
      </c>
      <c r="AT47" s="5">
        <f t="shared" si="31"/>
        <v>34000</v>
      </c>
      <c r="AU47" s="5">
        <f t="shared" si="31"/>
        <v>33000</v>
      </c>
      <c r="AV47" s="5">
        <f t="shared" si="31"/>
        <v>32000</v>
      </c>
      <c r="AW47" s="5">
        <f t="shared" si="31"/>
        <v>30000</v>
      </c>
      <c r="AX47" s="5">
        <f>AX43+AX46</f>
        <v>38142.34453781513</v>
      </c>
      <c r="AY47" s="5">
        <f aca="true" t="shared" si="32" ref="AY47:BI47">AY43+AY46</f>
        <v>18906.840336134454</v>
      </c>
      <c r="AZ47" s="5">
        <f t="shared" si="32"/>
        <v>16088.697478991597</v>
      </c>
      <c r="BA47" s="5">
        <f t="shared" si="32"/>
        <v>46436.94117647059</v>
      </c>
      <c r="BB47" s="5">
        <f t="shared" si="32"/>
        <v>44447.95798319327</v>
      </c>
      <c r="BC47" s="5">
        <f t="shared" si="32"/>
        <v>53403.88235294117</v>
      </c>
      <c r="BD47" s="5">
        <f t="shared" si="32"/>
        <v>44118.294117647056</v>
      </c>
      <c r="BE47" s="5">
        <f t="shared" si="32"/>
        <v>68164.9243697479</v>
      </c>
      <c r="BF47" s="5">
        <f t="shared" si="32"/>
        <v>35994.529411764706</v>
      </c>
      <c r="BG47" s="5">
        <f t="shared" si="32"/>
        <v>42794.63865546218</v>
      </c>
      <c r="BH47" s="5">
        <f t="shared" si="32"/>
        <v>32182.394957983193</v>
      </c>
      <c r="BI47" s="5">
        <f t="shared" si="32"/>
        <v>24223.462184873944</v>
      </c>
    </row>
    <row r="49" spans="1:61" ht="12.75">
      <c r="A49" s="14" t="s">
        <v>28</v>
      </c>
      <c r="B49" s="5">
        <f aca="true" t="shared" si="33" ref="B49:AG49">((1-B41)*B7)-B9-B20-B21-B23-B24+B35</f>
        <v>35014</v>
      </c>
      <c r="C49" s="5">
        <f t="shared" si="33"/>
        <v>18437</v>
      </c>
      <c r="D49" s="5">
        <f t="shared" si="33"/>
        <v>-66745</v>
      </c>
      <c r="E49" s="5">
        <f t="shared" si="33"/>
        <v>29278</v>
      </c>
      <c r="F49" s="5">
        <f t="shared" si="33"/>
        <v>62907</v>
      </c>
      <c r="G49" s="5">
        <f t="shared" si="33"/>
        <v>4225</v>
      </c>
      <c r="H49" s="5">
        <f t="shared" si="33"/>
        <v>179185</v>
      </c>
      <c r="I49" s="5">
        <f t="shared" si="33"/>
        <v>17514</v>
      </c>
      <c r="J49" s="5">
        <f t="shared" si="33"/>
        <v>138480</v>
      </c>
      <c r="K49" s="5">
        <f t="shared" si="33"/>
        <v>123439</v>
      </c>
      <c r="L49" s="5">
        <f t="shared" si="33"/>
        <v>-46593</v>
      </c>
      <c r="M49" s="5">
        <f t="shared" si="33"/>
        <v>149883</v>
      </c>
      <c r="N49" s="5">
        <f t="shared" si="33"/>
        <v>42540</v>
      </c>
      <c r="O49" s="5">
        <f t="shared" si="33"/>
        <v>7269</v>
      </c>
      <c r="P49" s="5">
        <f t="shared" si="33"/>
        <v>36698</v>
      </c>
      <c r="Q49" s="5">
        <f t="shared" si="33"/>
        <v>53696</v>
      </c>
      <c r="R49" s="5">
        <f t="shared" si="33"/>
        <v>123507</v>
      </c>
      <c r="S49" s="5">
        <f t="shared" si="33"/>
        <v>142148</v>
      </c>
      <c r="T49" s="5">
        <f t="shared" si="33"/>
        <v>87295</v>
      </c>
      <c r="U49" s="5">
        <f t="shared" si="33"/>
        <v>76236</v>
      </c>
      <c r="V49" s="5">
        <f t="shared" si="33"/>
        <v>68982</v>
      </c>
      <c r="W49" s="5">
        <f t="shared" si="33"/>
        <v>114672</v>
      </c>
      <c r="X49" s="5">
        <f t="shared" si="33"/>
        <v>65212</v>
      </c>
      <c r="Y49" s="5">
        <f t="shared" si="33"/>
        <v>24609</v>
      </c>
      <c r="Z49" s="5">
        <f t="shared" si="33"/>
        <v>195006</v>
      </c>
      <c r="AA49" s="5">
        <f t="shared" si="33"/>
        <v>19952</v>
      </c>
      <c r="AB49" s="5">
        <f t="shared" si="33"/>
        <v>-200701</v>
      </c>
      <c r="AC49" s="5">
        <f t="shared" si="33"/>
        <v>92546</v>
      </c>
      <c r="AD49" s="5">
        <f t="shared" si="33"/>
        <v>102943</v>
      </c>
      <c r="AE49" s="5">
        <f t="shared" si="33"/>
        <v>155396</v>
      </c>
      <c r="AF49" s="5">
        <f t="shared" si="33"/>
        <v>86854</v>
      </c>
      <c r="AG49" s="5">
        <f t="shared" si="33"/>
        <v>119882</v>
      </c>
      <c r="AH49" s="5">
        <f aca="true" t="shared" si="34" ref="AH49:BI49">((1-AH41)*AH7)-AH9-AH20-AH21-AH23-AH24+AH35</f>
        <v>33065</v>
      </c>
      <c r="AI49" s="5">
        <f t="shared" si="34"/>
        <v>183623</v>
      </c>
      <c r="AJ49" s="5">
        <f t="shared" si="34"/>
        <v>69276</v>
      </c>
      <c r="AK49" s="5">
        <f t="shared" si="34"/>
        <v>13834</v>
      </c>
      <c r="AL49" s="5">
        <f t="shared" si="34"/>
        <v>72192</v>
      </c>
      <c r="AM49" s="5">
        <f t="shared" si="34"/>
        <v>4851</v>
      </c>
      <c r="AN49" s="5">
        <f t="shared" si="34"/>
        <v>-33391</v>
      </c>
      <c r="AO49" s="5">
        <f t="shared" si="34"/>
        <v>137239</v>
      </c>
      <c r="AP49" s="5">
        <f t="shared" si="34"/>
        <v>54509</v>
      </c>
      <c r="AQ49" s="5">
        <f t="shared" si="34"/>
        <v>124173</v>
      </c>
      <c r="AR49" s="5">
        <f t="shared" si="34"/>
        <v>85837</v>
      </c>
      <c r="AS49" s="5">
        <f t="shared" si="34"/>
        <v>211402</v>
      </c>
      <c r="AT49" s="5">
        <f t="shared" si="34"/>
        <v>50866</v>
      </c>
      <c r="AU49" s="5">
        <f t="shared" si="34"/>
        <v>109830</v>
      </c>
      <c r="AV49" s="5">
        <f t="shared" si="34"/>
        <v>56090</v>
      </c>
      <c r="AW49" s="5">
        <f t="shared" si="34"/>
        <v>51814</v>
      </c>
      <c r="AX49" s="5">
        <f t="shared" si="34"/>
        <v>-168843.23682200158</v>
      </c>
      <c r="AY49" s="5">
        <f t="shared" si="34"/>
        <v>-237708.93062018199</v>
      </c>
      <c r="AZ49" s="5">
        <f t="shared" si="34"/>
        <v>-320060.46976747125</v>
      </c>
      <c r="BA49" s="5">
        <f t="shared" si="34"/>
        <v>-1115843.6942917868</v>
      </c>
      <c r="BB49" s="5">
        <f t="shared" si="34"/>
        <v>-1365711.0301364944</v>
      </c>
      <c r="BC49" s="5">
        <f t="shared" si="34"/>
        <v>-1981866.4874216302</v>
      </c>
      <c r="BD49" s="5">
        <f t="shared" si="34"/>
        <v>-1940126.9862781423</v>
      </c>
      <c r="BE49" s="5">
        <f t="shared" si="34"/>
        <v>-3413264.075939792</v>
      </c>
      <c r="BF49" s="5">
        <f t="shared" si="34"/>
        <v>-2068739.9919343183</v>
      </c>
      <c r="BG49" s="5">
        <f t="shared" si="34"/>
        <v>-2731276.7184738014</v>
      </c>
      <c r="BH49" s="5">
        <f t="shared" si="34"/>
        <v>-2283595.3292441475</v>
      </c>
      <c r="BI49" s="5">
        <f t="shared" si="34"/>
        <v>-1895866.904629979</v>
      </c>
    </row>
    <row r="50" spans="1:61" ht="12.75">
      <c r="A50" s="14" t="s">
        <v>95</v>
      </c>
      <c r="B50" s="5">
        <f>B49-B47</f>
        <v>-3986</v>
      </c>
      <c r="C50" s="5">
        <f aca="true" t="shared" si="35" ref="C50:BI50">C49-C47</f>
        <v>-24563</v>
      </c>
      <c r="D50" s="5">
        <f t="shared" si="35"/>
        <v>-105745</v>
      </c>
      <c r="E50" s="5">
        <f t="shared" si="35"/>
        <v>-53722</v>
      </c>
      <c r="F50" s="5">
        <f t="shared" si="35"/>
        <v>-11093</v>
      </c>
      <c r="G50" s="5">
        <f t="shared" si="35"/>
        <v>-80775</v>
      </c>
      <c r="H50" s="5">
        <f t="shared" si="35"/>
        <v>104185</v>
      </c>
      <c r="I50" s="5">
        <f t="shared" si="35"/>
        <v>-61486</v>
      </c>
      <c r="J50" s="5">
        <f t="shared" si="35"/>
        <v>61480</v>
      </c>
      <c r="K50" s="5">
        <f t="shared" si="35"/>
        <v>6439</v>
      </c>
      <c r="L50" s="5">
        <f t="shared" si="35"/>
        <v>-114593</v>
      </c>
      <c r="M50" s="5">
        <f t="shared" si="35"/>
        <v>98883</v>
      </c>
      <c r="N50" s="5">
        <f t="shared" si="35"/>
        <v>-19460</v>
      </c>
      <c r="O50" s="5">
        <f t="shared" si="35"/>
        <v>-54731</v>
      </c>
      <c r="P50" s="5">
        <f t="shared" si="35"/>
        <v>-28302</v>
      </c>
      <c r="Q50" s="5">
        <f t="shared" si="35"/>
        <v>-55304</v>
      </c>
      <c r="R50" s="5">
        <f t="shared" si="35"/>
        <v>19507</v>
      </c>
      <c r="S50" s="5">
        <f t="shared" si="35"/>
        <v>45148</v>
      </c>
      <c r="T50" s="5">
        <f t="shared" si="35"/>
        <v>-15705</v>
      </c>
      <c r="U50" s="5">
        <f t="shared" si="35"/>
        <v>-26764</v>
      </c>
      <c r="V50" s="5">
        <f t="shared" si="35"/>
        <v>-46018</v>
      </c>
      <c r="W50" s="5">
        <f t="shared" si="35"/>
        <v>37672</v>
      </c>
      <c r="X50" s="5">
        <f t="shared" si="35"/>
        <v>3212</v>
      </c>
      <c r="Y50" s="5">
        <f t="shared" si="35"/>
        <v>-42391</v>
      </c>
      <c r="Z50" s="5">
        <f t="shared" si="35"/>
        <v>110006</v>
      </c>
      <c r="AA50" s="5">
        <f t="shared" si="35"/>
        <v>-39048</v>
      </c>
      <c r="AB50" s="5">
        <f t="shared" si="35"/>
        <v>-259701</v>
      </c>
      <c r="AC50" s="5">
        <f t="shared" si="35"/>
        <v>-8454</v>
      </c>
      <c r="AD50" s="5">
        <f t="shared" si="35"/>
        <v>9943</v>
      </c>
      <c r="AE50" s="5">
        <f t="shared" si="35"/>
        <v>69396</v>
      </c>
      <c r="AF50" s="5">
        <f t="shared" si="35"/>
        <v>-2146</v>
      </c>
      <c r="AG50" s="5">
        <f t="shared" si="35"/>
        <v>-9118</v>
      </c>
      <c r="AH50" s="5">
        <f t="shared" si="35"/>
        <v>-43935</v>
      </c>
      <c r="AI50" s="5">
        <f t="shared" si="35"/>
        <v>104623</v>
      </c>
      <c r="AJ50" s="5">
        <f t="shared" si="35"/>
        <v>9276</v>
      </c>
      <c r="AK50" s="5">
        <f t="shared" si="35"/>
        <v>-30166</v>
      </c>
      <c r="AL50" s="5">
        <f t="shared" si="35"/>
        <v>26192</v>
      </c>
      <c r="AM50" s="5">
        <f t="shared" si="35"/>
        <v>-53149</v>
      </c>
      <c r="AN50" s="5">
        <f t="shared" si="35"/>
        <v>-103391</v>
      </c>
      <c r="AO50" s="5">
        <f t="shared" si="35"/>
        <v>101239</v>
      </c>
      <c r="AP50" s="5">
        <f t="shared" si="35"/>
        <v>20509</v>
      </c>
      <c r="AQ50" s="5">
        <f t="shared" si="35"/>
        <v>90173</v>
      </c>
      <c r="AR50" s="5">
        <f t="shared" si="35"/>
        <v>52837</v>
      </c>
      <c r="AS50" s="5">
        <f t="shared" si="35"/>
        <v>162402</v>
      </c>
      <c r="AT50" s="5">
        <f t="shared" si="35"/>
        <v>16866</v>
      </c>
      <c r="AU50" s="5">
        <f t="shared" si="35"/>
        <v>76830</v>
      </c>
      <c r="AV50" s="5">
        <f t="shared" si="35"/>
        <v>24090</v>
      </c>
      <c r="AW50" s="5">
        <f t="shared" si="35"/>
        <v>21814</v>
      </c>
      <c r="AX50" s="5">
        <f t="shared" si="35"/>
        <v>-206985.58135981672</v>
      </c>
      <c r="AY50" s="5">
        <f t="shared" si="35"/>
        <v>-256615.77095631644</v>
      </c>
      <c r="AZ50" s="5">
        <f t="shared" si="35"/>
        <v>-336149.16724646284</v>
      </c>
      <c r="BA50" s="5">
        <f t="shared" si="35"/>
        <v>-1162280.6354682574</v>
      </c>
      <c r="BB50" s="5">
        <f t="shared" si="35"/>
        <v>-1410158.9881196877</v>
      </c>
      <c r="BC50" s="5">
        <f t="shared" si="35"/>
        <v>-2035270.3697745714</v>
      </c>
      <c r="BD50" s="5">
        <f t="shared" si="35"/>
        <v>-1984245.2803957893</v>
      </c>
      <c r="BE50" s="5">
        <f t="shared" si="35"/>
        <v>-3481429.00030954</v>
      </c>
      <c r="BF50" s="5">
        <f t="shared" si="35"/>
        <v>-2104734.521346083</v>
      </c>
      <c r="BG50" s="5">
        <f t="shared" si="35"/>
        <v>-2774071.3571292637</v>
      </c>
      <c r="BH50" s="5">
        <f t="shared" si="35"/>
        <v>-2315777.724202131</v>
      </c>
      <c r="BI50" s="5">
        <f t="shared" si="35"/>
        <v>-1920090.366814853</v>
      </c>
    </row>
    <row r="52" spans="1:61" ht="12.75">
      <c r="A52" s="14" t="s">
        <v>96</v>
      </c>
      <c r="B52" s="5">
        <f>B45/B46</f>
        <v>2.8205128205128207</v>
      </c>
      <c r="C52" s="5">
        <f>C45/C46</f>
        <v>1.8837209302325582</v>
      </c>
      <c r="D52" s="5">
        <f>D45/D46</f>
        <v>-0.7435897435897436</v>
      </c>
      <c r="E52" s="5">
        <f aca="true" t="shared" si="36" ref="E52:AH52">E45/E46</f>
        <v>1.2891566265060241</v>
      </c>
      <c r="F52" s="5">
        <f t="shared" si="36"/>
        <v>2.0135135135135136</v>
      </c>
      <c r="G52" s="5">
        <f t="shared" si="36"/>
        <v>0.9176470588235294</v>
      </c>
      <c r="H52" s="5">
        <f t="shared" si="36"/>
        <v>3.76</v>
      </c>
      <c r="I52" s="5">
        <f t="shared" si="36"/>
        <v>1.1898734177215189</v>
      </c>
      <c r="J52" s="5">
        <f t="shared" si="36"/>
        <v>3.0259740259740258</v>
      </c>
      <c r="K52" s="5">
        <f t="shared" si="36"/>
        <v>1.7094017094017093</v>
      </c>
      <c r="L52" s="5">
        <f t="shared" si="36"/>
        <v>0.16176470588235295</v>
      </c>
      <c r="M52" s="5">
        <f t="shared" si="36"/>
        <v>5.745098039215686</v>
      </c>
      <c r="N52" s="5">
        <f t="shared" si="36"/>
        <v>2.129032258064516</v>
      </c>
      <c r="O52" s="5">
        <f t="shared" si="36"/>
        <v>1.2419354838709677</v>
      </c>
      <c r="P52" s="5">
        <f t="shared" si="36"/>
        <v>1.5538461538461539</v>
      </c>
      <c r="Q52" s="5">
        <f t="shared" si="36"/>
        <v>1.146788990825688</v>
      </c>
      <c r="R52" s="5">
        <f t="shared" si="36"/>
        <v>2</v>
      </c>
      <c r="S52" s="5">
        <f t="shared" si="36"/>
        <v>2.845360824742268</v>
      </c>
      <c r="T52" s="5">
        <f t="shared" si="36"/>
        <v>1.5922330097087378</v>
      </c>
      <c r="U52" s="5">
        <f t="shared" si="36"/>
        <v>1.6504854368932038</v>
      </c>
      <c r="V52" s="5">
        <f t="shared" si="36"/>
        <v>1.4173913043478261</v>
      </c>
      <c r="W52" s="5">
        <f t="shared" si="36"/>
        <v>2.5324675324675323</v>
      </c>
      <c r="X52" s="5">
        <f t="shared" si="36"/>
        <v>2</v>
      </c>
      <c r="Y52" s="5">
        <f t="shared" si="36"/>
        <v>2.1343283582089554</v>
      </c>
      <c r="Z52" s="5">
        <f t="shared" si="36"/>
        <v>5.588235294117647</v>
      </c>
      <c r="AA52" s="5">
        <f t="shared" si="36"/>
        <v>1.7966101694915255</v>
      </c>
      <c r="AB52" s="26">
        <f t="shared" si="36"/>
        <v>-2.4237288135593222</v>
      </c>
      <c r="AC52" s="5">
        <f t="shared" si="36"/>
        <v>1.9108910891089108</v>
      </c>
      <c r="AD52" s="5">
        <f t="shared" si="36"/>
        <v>2.193548387096774</v>
      </c>
      <c r="AE52" s="5">
        <f t="shared" si="36"/>
        <v>2.953488372093023</v>
      </c>
      <c r="AF52" s="5">
        <f t="shared" si="36"/>
        <v>2.134831460674157</v>
      </c>
      <c r="AG52" s="5">
        <f t="shared" si="36"/>
        <v>1.7596899224806202</v>
      </c>
      <c r="AH52" s="5">
        <f t="shared" si="36"/>
        <v>1.4415584415584415</v>
      </c>
      <c r="AI52" s="5">
        <f aca="true" t="shared" si="37" ref="AI52:AW52">AI45/AI46</f>
        <v>3.4936708860759493</v>
      </c>
      <c r="AJ52" s="5">
        <f t="shared" si="37"/>
        <v>2.5833333333333335</v>
      </c>
      <c r="AK52" s="5">
        <f t="shared" si="37"/>
        <v>1.9545454545454546</v>
      </c>
      <c r="AL52" s="5">
        <f t="shared" si="37"/>
        <v>3.8260869565217392</v>
      </c>
      <c r="AM52" s="5">
        <f t="shared" si="37"/>
        <v>1.2241379310344827</v>
      </c>
      <c r="AN52" s="5">
        <f t="shared" si="37"/>
        <v>0.21428571428571427</v>
      </c>
      <c r="AO52" s="5">
        <f t="shared" si="37"/>
        <v>5.527777777777778</v>
      </c>
      <c r="AP52" s="5">
        <f t="shared" si="37"/>
        <v>4.294117647058823</v>
      </c>
      <c r="AQ52" s="5">
        <f t="shared" si="37"/>
        <v>6.529411764705882</v>
      </c>
      <c r="AR52" s="5">
        <f t="shared" si="37"/>
        <v>5.757575757575758</v>
      </c>
      <c r="AS52" s="5">
        <f t="shared" si="37"/>
        <v>6.775510204081633</v>
      </c>
      <c r="AT52" s="5">
        <f t="shared" si="37"/>
        <v>4.617647058823529</v>
      </c>
      <c r="AU52" s="5">
        <f t="shared" si="37"/>
        <v>6.151515151515151</v>
      </c>
      <c r="AV52" s="5">
        <f t="shared" si="37"/>
        <v>3.78125</v>
      </c>
      <c r="AW52" s="5">
        <f t="shared" si="37"/>
        <v>3.8</v>
      </c>
      <c r="AX52" s="5">
        <f>AX45/AX46</f>
        <v>4.576923076923077</v>
      </c>
      <c r="AY52" s="5">
        <f aca="true" t="shared" si="38" ref="AY52:BI52">AY45/AY46</f>
        <v>4.576923076923077</v>
      </c>
      <c r="AZ52" s="5">
        <f t="shared" si="38"/>
        <v>4.576923076923077</v>
      </c>
      <c r="BA52" s="5">
        <f t="shared" si="38"/>
        <v>4.576923076923077</v>
      </c>
      <c r="BB52" s="5">
        <f t="shared" si="38"/>
        <v>4.576923076923077</v>
      </c>
      <c r="BC52" s="5">
        <f t="shared" si="38"/>
        <v>4.5769230769230775</v>
      </c>
      <c r="BD52" s="5">
        <f t="shared" si="38"/>
        <v>4.576923076923077</v>
      </c>
      <c r="BE52" s="5">
        <f t="shared" si="38"/>
        <v>4.5769230769230775</v>
      </c>
      <c r="BF52" s="5">
        <f t="shared" si="38"/>
        <v>4.576923076923077</v>
      </c>
      <c r="BG52" s="5">
        <f t="shared" si="38"/>
        <v>4.576923076923077</v>
      </c>
      <c r="BH52" s="5">
        <f t="shared" si="38"/>
        <v>4.576923076923077</v>
      </c>
      <c r="BI52" s="5">
        <f t="shared" si="38"/>
        <v>4.5769230769230775</v>
      </c>
    </row>
    <row r="53" spans="1:61" ht="12.75">
      <c r="A53" s="14" t="s">
        <v>97</v>
      </c>
      <c r="B53" s="5">
        <f>B45/B47</f>
        <v>2.8205128205128207</v>
      </c>
      <c r="C53" s="5">
        <f>C45/C47</f>
        <v>1.8837209302325582</v>
      </c>
      <c r="D53" s="5">
        <f aca="true" t="shared" si="39" ref="D53:AH53">D45/D47</f>
        <v>-0.7435897435897436</v>
      </c>
      <c r="E53" s="5">
        <f t="shared" si="39"/>
        <v>1.2891566265060241</v>
      </c>
      <c r="F53" s="5">
        <f t="shared" si="39"/>
        <v>2.0135135135135136</v>
      </c>
      <c r="G53" s="5">
        <f t="shared" si="39"/>
        <v>0.9176470588235294</v>
      </c>
      <c r="H53" s="5">
        <f t="shared" si="39"/>
        <v>3.76</v>
      </c>
      <c r="I53" s="5">
        <f t="shared" si="39"/>
        <v>1.1898734177215189</v>
      </c>
      <c r="J53" s="5">
        <f t="shared" si="39"/>
        <v>3.0259740259740258</v>
      </c>
      <c r="K53" s="5">
        <f t="shared" si="39"/>
        <v>1.7094017094017093</v>
      </c>
      <c r="L53" s="5">
        <f t="shared" si="39"/>
        <v>0.16176470588235295</v>
      </c>
      <c r="M53" s="5">
        <f t="shared" si="39"/>
        <v>5.745098039215686</v>
      </c>
      <c r="N53" s="5">
        <f t="shared" si="39"/>
        <v>2.129032258064516</v>
      </c>
      <c r="O53" s="5">
        <f t="shared" si="39"/>
        <v>1.2419354838709677</v>
      </c>
      <c r="P53" s="5">
        <f t="shared" si="39"/>
        <v>1.5538461538461539</v>
      </c>
      <c r="Q53" s="5">
        <f t="shared" si="39"/>
        <v>1.146788990825688</v>
      </c>
      <c r="R53" s="5">
        <f t="shared" si="39"/>
        <v>2</v>
      </c>
      <c r="S53" s="5">
        <f t="shared" si="39"/>
        <v>2.845360824742268</v>
      </c>
      <c r="T53" s="5">
        <f t="shared" si="39"/>
        <v>1.5922330097087378</v>
      </c>
      <c r="U53" s="5">
        <f t="shared" si="39"/>
        <v>1.6504854368932038</v>
      </c>
      <c r="V53" s="5">
        <f t="shared" si="39"/>
        <v>1.4173913043478261</v>
      </c>
      <c r="W53" s="5">
        <f t="shared" si="39"/>
        <v>2.5324675324675323</v>
      </c>
      <c r="X53" s="5">
        <f t="shared" si="39"/>
        <v>2</v>
      </c>
      <c r="Y53" s="5">
        <f t="shared" si="39"/>
        <v>2.1343283582089554</v>
      </c>
      <c r="Z53" s="5">
        <f t="shared" si="39"/>
        <v>5.588235294117647</v>
      </c>
      <c r="AA53" s="5">
        <f t="shared" si="39"/>
        <v>1.7966101694915255</v>
      </c>
      <c r="AB53" s="26">
        <f t="shared" si="39"/>
        <v>-2.4237288135593222</v>
      </c>
      <c r="AC53" s="5">
        <f t="shared" si="39"/>
        <v>1.9108910891089108</v>
      </c>
      <c r="AD53" s="5">
        <f t="shared" si="39"/>
        <v>2.193548387096774</v>
      </c>
      <c r="AE53" s="5">
        <f t="shared" si="39"/>
        <v>2.953488372093023</v>
      </c>
      <c r="AF53" s="5">
        <f t="shared" si="39"/>
        <v>2.134831460674157</v>
      </c>
      <c r="AG53" s="5">
        <f t="shared" si="39"/>
        <v>1.7596899224806202</v>
      </c>
      <c r="AH53" s="5">
        <f t="shared" si="39"/>
        <v>1.4415584415584415</v>
      </c>
      <c r="AI53" s="5">
        <f aca="true" t="shared" si="40" ref="AI53:AW53">AI45/AI47</f>
        <v>3.4936708860759493</v>
      </c>
      <c r="AJ53" s="5">
        <f t="shared" si="40"/>
        <v>2.5833333333333335</v>
      </c>
      <c r="AK53" s="5">
        <f t="shared" si="40"/>
        <v>1.9545454545454546</v>
      </c>
      <c r="AL53" s="5">
        <f t="shared" si="40"/>
        <v>3.8260869565217392</v>
      </c>
      <c r="AM53" s="5">
        <f t="shared" si="40"/>
        <v>1.2241379310344827</v>
      </c>
      <c r="AN53" s="5">
        <f t="shared" si="40"/>
        <v>0.21428571428571427</v>
      </c>
      <c r="AO53" s="5">
        <f t="shared" si="40"/>
        <v>5.527777777777778</v>
      </c>
      <c r="AP53" s="5">
        <f t="shared" si="40"/>
        <v>4.294117647058823</v>
      </c>
      <c r="AQ53" s="5">
        <f t="shared" si="40"/>
        <v>6.529411764705882</v>
      </c>
      <c r="AR53" s="5">
        <f t="shared" si="40"/>
        <v>5.757575757575758</v>
      </c>
      <c r="AS53" s="5">
        <f t="shared" si="40"/>
        <v>6.775510204081633</v>
      </c>
      <c r="AT53" s="5">
        <f t="shared" si="40"/>
        <v>4.617647058823529</v>
      </c>
      <c r="AU53" s="5">
        <f t="shared" si="40"/>
        <v>6.151515151515151</v>
      </c>
      <c r="AV53" s="5">
        <f t="shared" si="40"/>
        <v>3.78125</v>
      </c>
      <c r="AW53" s="5">
        <f t="shared" si="40"/>
        <v>3.8</v>
      </c>
      <c r="AX53" s="5">
        <f>AX45/AX47</f>
        <v>4.5768030810724705</v>
      </c>
      <c r="AY53" s="5">
        <f aca="true" t="shared" si="41" ref="AY53:BI53">AY45/AY47</f>
        <v>4.57643892166545</v>
      </c>
      <c r="AZ53" s="5">
        <f t="shared" si="41"/>
        <v>4.576069634980453</v>
      </c>
      <c r="BA53" s="5">
        <f t="shared" si="41"/>
        <v>4.576528828468207</v>
      </c>
      <c r="BB53" s="5">
        <f t="shared" si="41"/>
        <v>4.576408213779234</v>
      </c>
      <c r="BC53" s="5">
        <f t="shared" si="41"/>
        <v>4.576408853288922</v>
      </c>
      <c r="BD53" s="5">
        <f t="shared" si="41"/>
        <v>4.576196882445724</v>
      </c>
      <c r="BE53" s="5">
        <f t="shared" si="41"/>
        <v>4.576385918187056</v>
      </c>
      <c r="BF53" s="5">
        <f t="shared" si="41"/>
        <v>4.575778672249214</v>
      </c>
      <c r="BG53" s="5">
        <f t="shared" si="41"/>
        <v>4.575853568400346</v>
      </c>
      <c r="BH53" s="5">
        <f t="shared" si="41"/>
        <v>4.575358676451581</v>
      </c>
      <c r="BI53" s="5">
        <f t="shared" si="41"/>
        <v>4.574655726512805</v>
      </c>
    </row>
    <row r="55" spans="1:61" ht="12.75">
      <c r="A55" s="14" t="s">
        <v>203</v>
      </c>
      <c r="AX55" s="90">
        <v>0.035</v>
      </c>
      <c r="AY55" s="90">
        <v>0.035</v>
      </c>
      <c r="AZ55" s="90">
        <v>0.035</v>
      </c>
      <c r="BA55" s="90">
        <v>0.035</v>
      </c>
      <c r="BB55" s="90">
        <v>0.035</v>
      </c>
      <c r="BC55" s="90">
        <v>0.035</v>
      </c>
      <c r="BD55" s="90">
        <v>0.035</v>
      </c>
      <c r="BE55" s="90">
        <v>0.035</v>
      </c>
      <c r="BF55" s="90">
        <v>0.035</v>
      </c>
      <c r="BG55" s="90">
        <v>0.035</v>
      </c>
      <c r="BH55" s="90">
        <v>0.035</v>
      </c>
      <c r="BI55" s="90">
        <v>0.035</v>
      </c>
    </row>
    <row r="56" spans="1:61" ht="12.75">
      <c r="A56" s="14" t="s">
        <v>204</v>
      </c>
      <c r="AX56" s="90">
        <v>0.2</v>
      </c>
      <c r="AY56" s="90">
        <v>0.2</v>
      </c>
      <c r="AZ56" s="90">
        <v>0.2</v>
      </c>
      <c r="BA56" s="90">
        <v>0.2</v>
      </c>
      <c r="BB56" s="90">
        <v>0.2</v>
      </c>
      <c r="BC56" s="90">
        <v>0.2</v>
      </c>
      <c r="BD56" s="90">
        <v>0.2</v>
      </c>
      <c r="BE56" s="90">
        <v>0.2</v>
      </c>
      <c r="BF56" s="90">
        <v>0.2</v>
      </c>
      <c r="BG56" s="90">
        <v>0.2</v>
      </c>
      <c r="BH56" s="90">
        <v>0.2</v>
      </c>
      <c r="BI56" s="90">
        <v>0.2</v>
      </c>
    </row>
    <row r="57" spans="1:61" ht="12.75">
      <c r="A57" s="14" t="s">
        <v>205</v>
      </c>
      <c r="AX57" s="90">
        <v>0.048</v>
      </c>
      <c r="AY57" s="90">
        <v>0.048</v>
      </c>
      <c r="AZ57" s="90">
        <v>0.048</v>
      </c>
      <c r="BA57" s="90">
        <v>0.048</v>
      </c>
      <c r="BB57" s="90">
        <v>0.048</v>
      </c>
      <c r="BC57" s="90">
        <v>0.048</v>
      </c>
      <c r="BD57" s="90">
        <v>0.048</v>
      </c>
      <c r="BE57" s="90">
        <v>0.048</v>
      </c>
      <c r="BF57" s="90">
        <v>0.048</v>
      </c>
      <c r="BG57" s="90">
        <v>0.048</v>
      </c>
      <c r="BH57" s="90">
        <v>0.048</v>
      </c>
      <c r="BI57" s="90">
        <v>0.048</v>
      </c>
    </row>
    <row r="58" ht="12.75">
      <c r="A58" s="14"/>
    </row>
    <row r="59" ht="12.75">
      <c r="A59" s="14"/>
    </row>
    <row r="60" ht="15">
      <c r="A60" s="16"/>
    </row>
    <row r="61" ht="12.75">
      <c r="A61" s="1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7"/>
  <sheetViews>
    <sheetView tabSelected="1" zoomScale="120" zoomScaleNormal="120" zoomScalePageLayoutView="0" workbookViewId="0" topLeftCell="A1">
      <pane xSplit="1" ySplit="5" topLeftCell="AJ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K33" sqref="AK33"/>
    </sheetView>
  </sheetViews>
  <sheetFormatPr defaultColWidth="9.140625" defaultRowHeight="12.75"/>
  <cols>
    <col min="1" max="1" width="46.28125" style="5" customWidth="1"/>
    <col min="2" max="2" width="13.8515625" style="5" bestFit="1" customWidth="1"/>
    <col min="3" max="3" width="12.8515625" style="5" bestFit="1" customWidth="1"/>
    <col min="4" max="20" width="13.421875" style="5" bestFit="1" customWidth="1"/>
    <col min="21" max="37" width="13.421875" style="5" customWidth="1"/>
    <col min="38" max="50" width="13.421875" style="5" bestFit="1" customWidth="1"/>
    <col min="51" max="16384" width="11.421875" style="5" customWidth="1"/>
  </cols>
  <sheetData>
    <row r="1" ht="12.75">
      <c r="A1" s="71" t="str">
        <f>Dashboard!A2</f>
        <v>ABC Company</v>
      </c>
    </row>
    <row r="2" ht="12.75">
      <c r="A2" s="5" t="s">
        <v>112</v>
      </c>
    </row>
    <row r="3" ht="12.75">
      <c r="A3" s="5" t="s">
        <v>113</v>
      </c>
    </row>
    <row r="4" spans="1:50" ht="12.75">
      <c r="A4" s="30" t="s">
        <v>196</v>
      </c>
      <c r="AM4" s="6" t="s">
        <v>45</v>
      </c>
      <c r="AN4" s="6" t="s">
        <v>45</v>
      </c>
      <c r="AO4" s="6" t="s">
        <v>45</v>
      </c>
      <c r="AP4" s="6" t="s">
        <v>45</v>
      </c>
      <c r="AQ4" s="6" t="s">
        <v>45</v>
      </c>
      <c r="AR4" s="6" t="s">
        <v>45</v>
      </c>
      <c r="AS4" s="6" t="s">
        <v>45</v>
      </c>
      <c r="AT4" s="6" t="s">
        <v>45</v>
      </c>
      <c r="AU4" s="6" t="s">
        <v>45</v>
      </c>
      <c r="AV4" s="6" t="s">
        <v>45</v>
      </c>
      <c r="AW4" s="6" t="s">
        <v>45</v>
      </c>
      <c r="AX4" s="6" t="s">
        <v>45</v>
      </c>
    </row>
    <row r="5" spans="1:50" ht="12.75">
      <c r="A5" s="7"/>
      <c r="B5" s="6" t="str">
        <f>'PL by Month'!M5</f>
        <v>2008-12</v>
      </c>
      <c r="C5" s="6" t="str">
        <f>'PL by Month'!N5</f>
        <v>2009-01</v>
      </c>
      <c r="D5" s="6" t="str">
        <f>'PL by Month'!O5</f>
        <v>2009-02</v>
      </c>
      <c r="E5" s="6" t="str">
        <f>'PL by Month'!P5</f>
        <v>2009-03</v>
      </c>
      <c r="F5" s="6" t="str">
        <f>'PL by Month'!Q5</f>
        <v>2009-04</v>
      </c>
      <c r="G5" s="6" t="str">
        <f>'PL by Month'!R5</f>
        <v>2009-05</v>
      </c>
      <c r="H5" s="6" t="str">
        <f>'PL by Month'!S5</f>
        <v>2009-06</v>
      </c>
      <c r="I5" s="6" t="str">
        <f>'PL by Month'!T5</f>
        <v>2009-07</v>
      </c>
      <c r="J5" s="6" t="str">
        <f>'PL by Month'!U5</f>
        <v>2009-08</v>
      </c>
      <c r="K5" s="6" t="str">
        <f>'PL by Month'!V5</f>
        <v>2009-09</v>
      </c>
      <c r="L5" s="6" t="str">
        <f>'PL by Month'!W5</f>
        <v>2009-10</v>
      </c>
      <c r="M5" s="6" t="str">
        <f>'PL by Month'!X5</f>
        <v>2009-11</v>
      </c>
      <c r="N5" s="6" t="str">
        <f>'PL by Month'!Y5</f>
        <v>2009-12</v>
      </c>
      <c r="O5" s="6" t="str">
        <f>'PL by Month'!Z5</f>
        <v>2010-01</v>
      </c>
      <c r="P5" s="6" t="str">
        <f>'PL by Month'!AA5</f>
        <v>2010-02</v>
      </c>
      <c r="Q5" s="6" t="str">
        <f>'PL by Month'!AB5</f>
        <v>2010-03</v>
      </c>
      <c r="R5" s="6" t="str">
        <f>'PL by Month'!AC5</f>
        <v>2010-04</v>
      </c>
      <c r="S5" s="6" t="str">
        <f>'PL by Month'!AD5</f>
        <v>2010-05</v>
      </c>
      <c r="T5" s="6" t="str">
        <f>'PL by Month'!AE5</f>
        <v>2010-06</v>
      </c>
      <c r="U5" s="6" t="str">
        <f>'PL by Month'!AF5</f>
        <v>2010-07</v>
      </c>
      <c r="V5" s="6" t="str">
        <f>'PL by Month'!AG5</f>
        <v>2010-08</v>
      </c>
      <c r="W5" s="6" t="str">
        <f>'PL by Month'!AH5</f>
        <v>2010-09</v>
      </c>
      <c r="X5" s="6" t="str">
        <f>'PL by Month'!AI5</f>
        <v>2010-10</v>
      </c>
      <c r="Y5" s="6" t="str">
        <f>'PL by Month'!AJ5</f>
        <v>2010-11</v>
      </c>
      <c r="Z5" s="6" t="str">
        <f>'PL by Month'!AK5</f>
        <v>2010-12</v>
      </c>
      <c r="AA5" s="6" t="str">
        <f>'PL by Month'!AL5</f>
        <v>2011-01</v>
      </c>
      <c r="AB5" s="6" t="str">
        <f>'PL by Month'!AM5</f>
        <v>2011-02</v>
      </c>
      <c r="AC5" s="6" t="str">
        <f>'PL by Month'!AN5</f>
        <v>2011-03</v>
      </c>
      <c r="AD5" s="6" t="str">
        <f>'PL by Month'!AO5</f>
        <v>2011-04</v>
      </c>
      <c r="AE5" s="6" t="str">
        <f>'PL by Month'!AP5</f>
        <v>2011-05</v>
      </c>
      <c r="AF5" s="6" t="str">
        <f>'PL by Month'!AQ5</f>
        <v>2011-06</v>
      </c>
      <c r="AG5" s="6" t="str">
        <f>'PL by Month'!AR5</f>
        <v>2011-07</v>
      </c>
      <c r="AH5" s="6" t="str">
        <f>'PL by Month'!AS5</f>
        <v>2011-08</v>
      </c>
      <c r="AI5" s="6" t="str">
        <f>'PL by Month'!AT5</f>
        <v>2011-09</v>
      </c>
      <c r="AJ5" s="6" t="str">
        <f>'PL by Month'!AU5</f>
        <v>2011-10</v>
      </c>
      <c r="AK5" s="6" t="str">
        <f>'PL by Month'!AV5</f>
        <v>2011-11</v>
      </c>
      <c r="AL5" s="6" t="str">
        <f>'PL by Month'!AW5</f>
        <v>2011-12</v>
      </c>
      <c r="AM5" s="6" t="str">
        <f>'PL by Month'!AX5</f>
        <v>2012-01</v>
      </c>
      <c r="AN5" s="6" t="str">
        <f>'PL by Month'!AY5</f>
        <v>2012-02</v>
      </c>
      <c r="AO5" s="6" t="str">
        <f>'PL by Month'!AZ5</f>
        <v>2012-03</v>
      </c>
      <c r="AP5" s="6" t="str">
        <f>'PL by Month'!BA5</f>
        <v>2012-04</v>
      </c>
      <c r="AQ5" s="6" t="str">
        <f>'PL by Month'!BB5</f>
        <v>2012-05</v>
      </c>
      <c r="AR5" s="6" t="str">
        <f>'PL by Month'!BC5</f>
        <v>2012-06</v>
      </c>
      <c r="AS5" s="6" t="str">
        <f>'PL by Month'!BD5</f>
        <v>2012-07</v>
      </c>
      <c r="AT5" s="6" t="str">
        <f>'PL by Month'!BE5</f>
        <v>2012-08</v>
      </c>
      <c r="AU5" s="6" t="str">
        <f>'PL by Month'!BF5</f>
        <v>2012-09</v>
      </c>
      <c r="AV5" s="6" t="str">
        <f>'PL by Month'!BG5</f>
        <v>2012-10</v>
      </c>
      <c r="AW5" s="6" t="str">
        <f>'PL by Month'!BH5</f>
        <v>2012-11</v>
      </c>
      <c r="AX5" s="6" t="str">
        <f>'PL by Month'!BI5</f>
        <v>2012-12</v>
      </c>
    </row>
    <row r="6" spans="1:50" ht="12.75">
      <c r="A6" s="7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</row>
    <row r="7" spans="1:50" ht="12.75">
      <c r="A7" s="73" t="s">
        <v>137</v>
      </c>
      <c r="B7" s="5">
        <f>SUM('PL by Month'!B7:M7)</f>
        <v>2514000</v>
      </c>
      <c r="C7" s="5">
        <f>SUM('PL by Month'!C7:N7)</f>
        <v>2580000</v>
      </c>
      <c r="D7" s="5">
        <f>SUM('PL by Month'!D7:O7)</f>
        <v>2563000</v>
      </c>
      <c r="E7" s="5">
        <f>SUM('PL by Month'!E7:P7)</f>
        <v>2640000</v>
      </c>
      <c r="F7" s="5">
        <f>SUM('PL by Month'!F7:Q7)</f>
        <v>2693000</v>
      </c>
      <c r="G7" s="5">
        <f>SUM('PL by Month'!G7:R7)</f>
        <v>2734000</v>
      </c>
      <c r="H7" s="5">
        <f>SUM('PL by Month'!H7:S7)</f>
        <v>2942000</v>
      </c>
      <c r="I7" s="5">
        <f>SUM('PL by Month'!I7:T7)</f>
        <v>2840000</v>
      </c>
      <c r="J7" s="5">
        <f>SUM('PL by Month'!J7:U7)</f>
        <v>2912000</v>
      </c>
      <c r="K7" s="5">
        <f>SUM('PL by Month'!K7:V7)</f>
        <v>2817000</v>
      </c>
      <c r="L7" s="5">
        <f>SUM('PL by Month'!L7:W7)</f>
        <v>2825000</v>
      </c>
      <c r="M7" s="5">
        <f>SUM('PL by Month'!M7:X7)</f>
        <v>2879000</v>
      </c>
      <c r="N7" s="5">
        <f>SUM('PL by Month'!N7:Y7)</f>
        <v>2793000</v>
      </c>
      <c r="O7" s="5">
        <f>SUM('PL by Month'!O7:Z7)</f>
        <v>3127000</v>
      </c>
      <c r="P7" s="5">
        <f>SUM('PL by Month'!P7:AA7)</f>
        <v>3179000</v>
      </c>
      <c r="Q7" s="5">
        <f>SUM('PL by Month'!Q7:AB7)</f>
        <v>3102000</v>
      </c>
      <c r="R7" s="5">
        <f>SUM('PL by Month'!R7:AC7)</f>
        <v>3207000</v>
      </c>
      <c r="S7" s="5">
        <f>SUM('PL by Month'!S7:AD7)</f>
        <v>3232000</v>
      </c>
      <c r="T7" s="5">
        <f>SUM('PL by Month'!T7:AE7)</f>
        <v>3219000</v>
      </c>
      <c r="U7" s="5">
        <f>SUM('PL by Month'!U7:AF7)</f>
        <v>3234000</v>
      </c>
      <c r="V7" s="5">
        <f>SUM('PL by Month'!V7:AG7)</f>
        <v>3278000</v>
      </c>
      <c r="W7" s="5">
        <f>SUM('PL by Month'!W7:AH7)</f>
        <v>3207000</v>
      </c>
      <c r="X7" s="5">
        <f>SUM('PL by Month'!X7:AI7)</f>
        <v>3269000</v>
      </c>
      <c r="Y7" s="5">
        <f>SUM('PL by Month'!Y7:AJ7)</f>
        <v>3310000</v>
      </c>
      <c r="Z7" s="5">
        <f>SUM('PL by Month'!Z7:AK7)</f>
        <v>3223000</v>
      </c>
      <c r="AA7" s="5">
        <f>SUM('PL by Month'!AA7:AL7)</f>
        <v>2903000</v>
      </c>
      <c r="AB7" s="5">
        <f>SUM('PL by Month'!AB7:AM7)</f>
        <v>2856000</v>
      </c>
      <c r="AC7" s="5">
        <f>SUM('PL by Month'!AC7:AN7)</f>
        <v>2895000</v>
      </c>
      <c r="AD7" s="5">
        <f>SUM('PL by Month'!AD7:AO7)</f>
        <v>2859000</v>
      </c>
      <c r="AE7" s="5">
        <f>SUM('PL by Month'!AE7:AP7)</f>
        <v>2799000</v>
      </c>
      <c r="AF7" s="5">
        <f>SUM('PL by Month'!AF7:AQ7)</f>
        <v>2747000</v>
      </c>
      <c r="AG7" s="5">
        <f>SUM('PL by Month'!AG7:AR7)</f>
        <v>2722000</v>
      </c>
      <c r="AH7" s="5">
        <f>SUM('PL by Month'!AH7:AS7)</f>
        <v>2832000</v>
      </c>
      <c r="AI7" s="5">
        <f>SUM('PL by Month'!AI7:AT7)</f>
        <v>2880000</v>
      </c>
      <c r="AJ7" s="5">
        <f>SUM('PL by Month'!AJ7:AU7)</f>
        <v>2794000</v>
      </c>
      <c r="AK7" s="5">
        <f>SUM('PL by Month'!AK7:AV7)</f>
        <v>2770000</v>
      </c>
      <c r="AL7" s="5">
        <f>SUM('PL by Month'!AL7:AW7)</f>
        <v>2803000</v>
      </c>
      <c r="AM7" s="5">
        <f>SUM('PL by Month'!AM7:AX7)</f>
        <v>2826000</v>
      </c>
      <c r="AN7" s="5">
        <f>SUM('PL by Month'!AN7:AY7)</f>
        <v>2837400</v>
      </c>
      <c r="AO7" s="5">
        <f>SUM('PL by Month'!AO7:AZ7)</f>
        <v>2847100</v>
      </c>
      <c r="AP7" s="5">
        <f>SUM('PL by Month'!AP7:BA7)</f>
        <v>2875100</v>
      </c>
      <c r="AQ7" s="5">
        <f>SUM('PL by Month'!AQ7:BB7)</f>
        <v>2901900</v>
      </c>
      <c r="AR7" s="5">
        <f>SUM('PL by Month'!AR7:BC7)</f>
        <v>2934100</v>
      </c>
      <c r="AS7" s="5">
        <f>SUM('PL by Month'!AS7:BD7)</f>
        <v>2960700</v>
      </c>
      <c r="AT7" s="5">
        <f>SUM('PL by Month'!AT7:BE7)</f>
        <v>3001800</v>
      </c>
      <c r="AU7" s="5">
        <f>SUM('PL by Month'!AU7:BF7)</f>
        <v>3023500</v>
      </c>
      <c r="AV7" s="5">
        <f>SUM('PL by Month'!AV7:BG7)</f>
        <v>3049300</v>
      </c>
      <c r="AW7" s="5">
        <f>SUM('PL by Month'!AW7:BH7)</f>
        <v>3068700</v>
      </c>
      <c r="AX7" s="5">
        <f>SUM('PL by Month'!AX7:BI7)</f>
        <v>3083300</v>
      </c>
    </row>
    <row r="8" ht="12.75">
      <c r="A8" s="10"/>
    </row>
    <row r="9" spans="1:50" s="58" customFormat="1" ht="12.75">
      <c r="A9" s="7" t="s">
        <v>0</v>
      </c>
      <c r="B9" s="9">
        <f>SUM('PL by Month'!B9:M9)</f>
        <v>905000</v>
      </c>
      <c r="C9" s="9">
        <f>SUM('PL by Month'!C9:N9)</f>
        <v>949000</v>
      </c>
      <c r="D9" s="9">
        <f>SUM('PL by Month'!D9:O9)</f>
        <v>936000</v>
      </c>
      <c r="E9" s="9">
        <f>SUM('PL by Month'!E9:P9)</f>
        <v>883000</v>
      </c>
      <c r="F9" s="9">
        <f>SUM('PL by Month'!F9:Q9)</f>
        <v>918000</v>
      </c>
      <c r="G9" s="9">
        <f>SUM('PL by Month'!G9:R9)</f>
        <v>900000</v>
      </c>
      <c r="H9" s="9">
        <f>SUM('PL by Month'!H9:S9)</f>
        <v>910000</v>
      </c>
      <c r="I9" s="9">
        <f>SUM('PL by Month'!I9:T9)</f>
        <v>926000</v>
      </c>
      <c r="J9" s="9">
        <f>SUM('PL by Month'!J9:U9)</f>
        <v>922000</v>
      </c>
      <c r="K9" s="9">
        <f>SUM('PL by Month'!K9:V9)</f>
        <v>897000</v>
      </c>
      <c r="L9" s="9">
        <f>SUM('PL by Month'!L9:W9)</f>
        <v>910000</v>
      </c>
      <c r="M9" s="9">
        <f>SUM('PL by Month'!M9:X9)</f>
        <v>851000</v>
      </c>
      <c r="N9" s="9">
        <f>SUM('PL by Month'!N9:Y9)</f>
        <v>915000</v>
      </c>
      <c r="O9" s="9">
        <f>SUM('PL by Month'!O9:Z9)</f>
        <v>906000</v>
      </c>
      <c r="P9" s="9">
        <f>SUM('PL by Month'!P9:AA9)</f>
        <v>929000</v>
      </c>
      <c r="Q9" s="9">
        <f>SUM('PL by Month'!Q9:AB9)</f>
        <v>1096000</v>
      </c>
      <c r="R9" s="9">
        <f>SUM('PL by Month'!R9:AC9)</f>
        <v>1133000</v>
      </c>
      <c r="S9" s="9">
        <f>SUM('PL by Month'!S9:AD9)</f>
        <v>1162000</v>
      </c>
      <c r="T9" s="9">
        <f>SUM('PL by Month'!T9:AE9)</f>
        <v>1171000</v>
      </c>
      <c r="U9" s="9">
        <f>SUM('PL by Month'!U9:AF9)</f>
        <v>1160000</v>
      </c>
      <c r="V9" s="9">
        <f>SUM('PL by Month'!V9:AG9)</f>
        <v>1147000</v>
      </c>
      <c r="W9" s="9">
        <f>SUM('PL by Month'!W9:AH9)</f>
        <v>1128000</v>
      </c>
      <c r="X9" s="9">
        <f>SUM('PL by Month'!X9:AI9)</f>
        <v>1109000</v>
      </c>
      <c r="Y9" s="9">
        <f>SUM('PL by Month'!Y9:AJ9)</f>
        <v>1119000</v>
      </c>
      <c r="Z9" s="9">
        <f>SUM('PL by Month'!Z9:AK9)</f>
        <v>1089000</v>
      </c>
      <c r="AA9" s="9">
        <f>SUM('PL by Month'!AA9:AL9)</f>
        <v>1068000</v>
      </c>
      <c r="AB9" s="9">
        <f>SUM('PL by Month'!AB9:AM9)</f>
        <v>1056000</v>
      </c>
      <c r="AC9" s="9">
        <f>SUM('PL by Month'!AC9:AN9)</f>
        <v>937000</v>
      </c>
      <c r="AD9" s="9">
        <f>SUM('PL by Month'!AD9:AO9)</f>
        <v>895000</v>
      </c>
      <c r="AE9" s="9">
        <f>SUM('PL by Month'!AE9:AP9)</f>
        <v>893000</v>
      </c>
      <c r="AF9" s="9">
        <f>SUM('PL by Month'!AF9:AQ9)</f>
        <v>873000</v>
      </c>
      <c r="AG9" s="9">
        <f>SUM('PL by Month'!AG9:AR9)</f>
        <v>848000</v>
      </c>
      <c r="AH9" s="9">
        <f>SUM('PL by Month'!AH9:AS9)</f>
        <v>853000</v>
      </c>
      <c r="AI9" s="9">
        <f>SUM('PL by Month'!AI9:AT9)</f>
        <v>855000</v>
      </c>
      <c r="AJ9" s="9">
        <f>SUM('PL by Month'!AJ9:AU9)</f>
        <v>842000</v>
      </c>
      <c r="AK9" s="9">
        <f>SUM('PL by Month'!AK9:AV9)</f>
        <v>852000</v>
      </c>
      <c r="AL9" s="9">
        <f>SUM('PL by Month'!AL9:AW9)</f>
        <v>857000</v>
      </c>
      <c r="AM9" s="9">
        <f>SUM('PL by Month'!AM9:AX9)</f>
        <v>881430</v>
      </c>
      <c r="AN9" s="9">
        <f>SUM('PL by Month'!AN9:AY9)</f>
        <v>877304</v>
      </c>
      <c r="AO9" s="9">
        <f>SUM('PL by Month'!AO9:AZ9)</f>
        <v>828381</v>
      </c>
      <c r="AP9" s="9">
        <f>SUM('PL by Month'!AP9:BA9)</f>
        <v>842861</v>
      </c>
      <c r="AQ9" s="9">
        <f>SUM('PL by Month'!AQ9:BB9)</f>
        <v>812249</v>
      </c>
      <c r="AR9" s="9">
        <f>SUM('PL by Month'!AR9:BC9)</f>
        <v>822051</v>
      </c>
      <c r="AS9" s="9">
        <f>SUM('PL by Month'!AS9:BD9)</f>
        <v>836757</v>
      </c>
      <c r="AT9" s="9">
        <f>SUM('PL by Month'!AT9:BE9)</f>
        <v>897908</v>
      </c>
      <c r="AU9" s="9">
        <f>SUM('PL by Month'!AU9:BF9)</f>
        <v>911905.0000000002</v>
      </c>
      <c r="AV9" s="9">
        <f>SUM('PL by Month'!AV9:BG9)</f>
        <v>944883.0000000002</v>
      </c>
      <c r="AW9" s="9">
        <f>SUM('PL by Month'!AW9:BH9)</f>
        <v>938037.0000000002</v>
      </c>
      <c r="AX9" s="9">
        <f>SUM('PL by Month'!AX9:BI9)</f>
        <v>955823.0000000002</v>
      </c>
    </row>
    <row r="10" s="58" customFormat="1" ht="12.75">
      <c r="A10" s="10"/>
    </row>
    <row r="11" spans="1:50" s="58" customFormat="1" ht="12.75">
      <c r="A11" s="72" t="s">
        <v>200</v>
      </c>
      <c r="B11" s="58">
        <f>B7-B9</f>
        <v>1609000</v>
      </c>
      <c r="C11" s="58">
        <f aca="true" t="shared" si="0" ref="C11:AX11">C7-C9</f>
        <v>1631000</v>
      </c>
      <c r="D11" s="58">
        <f t="shared" si="0"/>
        <v>1627000</v>
      </c>
      <c r="E11" s="58">
        <f t="shared" si="0"/>
        <v>1757000</v>
      </c>
      <c r="F11" s="58">
        <f t="shared" si="0"/>
        <v>1775000</v>
      </c>
      <c r="G11" s="58">
        <f t="shared" si="0"/>
        <v>1834000</v>
      </c>
      <c r="H11" s="58">
        <f t="shared" si="0"/>
        <v>2032000</v>
      </c>
      <c r="I11" s="58">
        <f t="shared" si="0"/>
        <v>1914000</v>
      </c>
      <c r="J11" s="58">
        <f t="shared" si="0"/>
        <v>1990000</v>
      </c>
      <c r="K11" s="58">
        <f t="shared" si="0"/>
        <v>1920000</v>
      </c>
      <c r="L11" s="58">
        <f t="shared" si="0"/>
        <v>1915000</v>
      </c>
      <c r="M11" s="58">
        <f t="shared" si="0"/>
        <v>2028000</v>
      </c>
      <c r="N11" s="58">
        <f t="shared" si="0"/>
        <v>1878000</v>
      </c>
      <c r="O11" s="58">
        <f t="shared" si="0"/>
        <v>2221000</v>
      </c>
      <c r="P11" s="58">
        <f t="shared" si="0"/>
        <v>2250000</v>
      </c>
      <c r="Q11" s="58">
        <f t="shared" si="0"/>
        <v>2006000</v>
      </c>
      <c r="R11" s="58">
        <f t="shared" si="0"/>
        <v>2074000</v>
      </c>
      <c r="S11" s="58">
        <f t="shared" si="0"/>
        <v>2070000</v>
      </c>
      <c r="T11" s="58">
        <f t="shared" si="0"/>
        <v>2048000</v>
      </c>
      <c r="U11" s="58">
        <f t="shared" si="0"/>
        <v>2074000</v>
      </c>
      <c r="V11" s="58">
        <f t="shared" si="0"/>
        <v>2131000</v>
      </c>
      <c r="W11" s="58">
        <f t="shared" si="0"/>
        <v>2079000</v>
      </c>
      <c r="X11" s="58">
        <f t="shared" si="0"/>
        <v>2160000</v>
      </c>
      <c r="Y11" s="58">
        <f t="shared" si="0"/>
        <v>2191000</v>
      </c>
      <c r="Z11" s="58">
        <f t="shared" si="0"/>
        <v>2134000</v>
      </c>
      <c r="AA11" s="58">
        <f t="shared" si="0"/>
        <v>1835000</v>
      </c>
      <c r="AB11" s="58">
        <f t="shared" si="0"/>
        <v>1800000</v>
      </c>
      <c r="AC11" s="58">
        <f t="shared" si="0"/>
        <v>1958000</v>
      </c>
      <c r="AD11" s="58">
        <f t="shared" si="0"/>
        <v>1964000</v>
      </c>
      <c r="AE11" s="58">
        <f t="shared" si="0"/>
        <v>1906000</v>
      </c>
      <c r="AF11" s="58">
        <f t="shared" si="0"/>
        <v>1874000</v>
      </c>
      <c r="AG11" s="58">
        <f t="shared" si="0"/>
        <v>1874000</v>
      </c>
      <c r="AH11" s="58">
        <f t="shared" si="0"/>
        <v>1979000</v>
      </c>
      <c r="AI11" s="58">
        <f t="shared" si="0"/>
        <v>2025000</v>
      </c>
      <c r="AJ11" s="58">
        <f t="shared" si="0"/>
        <v>1952000</v>
      </c>
      <c r="AK11" s="58">
        <f t="shared" si="0"/>
        <v>1918000</v>
      </c>
      <c r="AL11" s="58">
        <f t="shared" si="0"/>
        <v>1946000</v>
      </c>
      <c r="AM11" s="58">
        <f t="shared" si="0"/>
        <v>1944570</v>
      </c>
      <c r="AN11" s="58">
        <f t="shared" si="0"/>
        <v>1960096</v>
      </c>
      <c r="AO11" s="58">
        <f t="shared" si="0"/>
        <v>2018719</v>
      </c>
      <c r="AP11" s="58">
        <f t="shared" si="0"/>
        <v>2032239</v>
      </c>
      <c r="AQ11" s="58">
        <f t="shared" si="0"/>
        <v>2089651</v>
      </c>
      <c r="AR11" s="58">
        <f t="shared" si="0"/>
        <v>2112049</v>
      </c>
      <c r="AS11" s="58">
        <f t="shared" si="0"/>
        <v>2123943</v>
      </c>
      <c r="AT11" s="58">
        <f t="shared" si="0"/>
        <v>2103892</v>
      </c>
      <c r="AU11" s="58">
        <f t="shared" si="0"/>
        <v>2111595</v>
      </c>
      <c r="AV11" s="58">
        <f t="shared" si="0"/>
        <v>2104417</v>
      </c>
      <c r="AW11" s="58">
        <f t="shared" si="0"/>
        <v>2130663</v>
      </c>
      <c r="AX11" s="58">
        <f t="shared" si="0"/>
        <v>2127477</v>
      </c>
    </row>
    <row r="12" spans="1:50" s="58" customFormat="1" ht="12.75">
      <c r="A12" s="80" t="s">
        <v>202</v>
      </c>
      <c r="B12" s="84">
        <f>B11/B7</f>
        <v>0.6400159108989658</v>
      </c>
      <c r="C12" s="84">
        <f aca="true" t="shared" si="1" ref="C12:AX12">C11/C7</f>
        <v>0.6321705426356589</v>
      </c>
      <c r="D12" s="84">
        <f t="shared" si="1"/>
        <v>0.6348029652750683</v>
      </c>
      <c r="E12" s="84">
        <f t="shared" si="1"/>
        <v>0.665530303030303</v>
      </c>
      <c r="F12" s="84">
        <f t="shared" si="1"/>
        <v>0.6591162272558485</v>
      </c>
      <c r="G12" s="84">
        <f t="shared" si="1"/>
        <v>0.6708119970738844</v>
      </c>
      <c r="H12" s="84">
        <f t="shared" si="1"/>
        <v>0.69068660774983</v>
      </c>
      <c r="I12" s="84">
        <f t="shared" si="1"/>
        <v>0.673943661971831</v>
      </c>
      <c r="J12" s="84">
        <f t="shared" si="1"/>
        <v>0.6833791208791209</v>
      </c>
      <c r="K12" s="84">
        <f t="shared" si="1"/>
        <v>0.6815761448349308</v>
      </c>
      <c r="L12" s="84">
        <f t="shared" si="1"/>
        <v>0.6778761061946903</v>
      </c>
      <c r="M12" s="84">
        <f t="shared" si="1"/>
        <v>0.7044112539076068</v>
      </c>
      <c r="N12" s="84">
        <f t="shared" si="1"/>
        <v>0.6723952738990333</v>
      </c>
      <c r="O12" s="84">
        <f t="shared" si="1"/>
        <v>0.7102654301247202</v>
      </c>
      <c r="P12" s="84">
        <f t="shared" si="1"/>
        <v>0.7077697389116074</v>
      </c>
      <c r="Q12" s="84">
        <f t="shared" si="1"/>
        <v>0.6466795615731786</v>
      </c>
      <c r="R12" s="84">
        <f t="shared" si="1"/>
        <v>0.6467103211724353</v>
      </c>
      <c r="S12" s="84">
        <f t="shared" si="1"/>
        <v>0.6404702970297029</v>
      </c>
      <c r="T12" s="84">
        <f t="shared" si="1"/>
        <v>0.6362224293258776</v>
      </c>
      <c r="U12" s="84">
        <f t="shared" si="1"/>
        <v>0.6413110698824984</v>
      </c>
      <c r="V12" s="84">
        <f t="shared" si="1"/>
        <v>0.650091519219036</v>
      </c>
      <c r="W12" s="84">
        <f t="shared" si="1"/>
        <v>0.6482694106641721</v>
      </c>
      <c r="X12" s="84">
        <f t="shared" si="1"/>
        <v>0.6607525237075558</v>
      </c>
      <c r="Y12" s="84">
        <f t="shared" si="1"/>
        <v>0.6619335347432024</v>
      </c>
      <c r="Z12" s="84">
        <f t="shared" si="1"/>
        <v>0.6621160409556314</v>
      </c>
      <c r="AA12" s="84">
        <f t="shared" si="1"/>
        <v>0.6321047192559421</v>
      </c>
      <c r="AB12" s="84">
        <f t="shared" si="1"/>
        <v>0.6302521008403361</v>
      </c>
      <c r="AC12" s="84">
        <f t="shared" si="1"/>
        <v>0.6763385146804836</v>
      </c>
      <c r="AD12" s="84">
        <f t="shared" si="1"/>
        <v>0.6869534802378454</v>
      </c>
      <c r="AE12" s="84">
        <f t="shared" si="1"/>
        <v>0.6809574848160057</v>
      </c>
      <c r="AF12" s="84">
        <f t="shared" si="1"/>
        <v>0.6821987622861303</v>
      </c>
      <c r="AG12" s="84">
        <f t="shared" si="1"/>
        <v>0.6884643644379133</v>
      </c>
      <c r="AH12" s="84">
        <f t="shared" si="1"/>
        <v>0.6987994350282486</v>
      </c>
      <c r="AI12" s="84">
        <f t="shared" si="1"/>
        <v>0.703125</v>
      </c>
      <c r="AJ12" s="84">
        <f t="shared" si="1"/>
        <v>0.698639942734431</v>
      </c>
      <c r="AK12" s="84">
        <f t="shared" si="1"/>
        <v>0.6924187725631769</v>
      </c>
      <c r="AL12" s="84">
        <f t="shared" si="1"/>
        <v>0.6942561541205851</v>
      </c>
      <c r="AM12" s="84">
        <f t="shared" si="1"/>
        <v>0.688099787685775</v>
      </c>
      <c r="AN12" s="84">
        <f t="shared" si="1"/>
        <v>0.6908070769013887</v>
      </c>
      <c r="AO12" s="84">
        <f t="shared" si="1"/>
        <v>0.7090439394471567</v>
      </c>
      <c r="AP12" s="84">
        <f t="shared" si="1"/>
        <v>0.7068411533511878</v>
      </c>
      <c r="AQ12" s="84">
        <f t="shared" si="1"/>
        <v>0.7200975223129674</v>
      </c>
      <c r="AR12" s="84">
        <f t="shared" si="1"/>
        <v>0.7198285675334856</v>
      </c>
      <c r="AS12" s="84">
        <f t="shared" si="1"/>
        <v>0.7173786604519201</v>
      </c>
      <c r="AT12" s="84">
        <f t="shared" si="1"/>
        <v>0.7008768072489839</v>
      </c>
      <c r="AU12" s="84">
        <f t="shared" si="1"/>
        <v>0.6983942450802051</v>
      </c>
      <c r="AV12" s="84">
        <f t="shared" si="1"/>
        <v>0.6901311776473289</v>
      </c>
      <c r="AW12" s="84">
        <f t="shared" si="1"/>
        <v>0.6943210480007821</v>
      </c>
      <c r="AX12" s="84">
        <f t="shared" si="1"/>
        <v>0.69</v>
      </c>
    </row>
    <row r="13" s="58" customFormat="1" ht="12" customHeight="1">
      <c r="A13" s="10"/>
    </row>
    <row r="14" spans="1:50" s="58" customFormat="1" ht="12.75">
      <c r="A14" s="73" t="s">
        <v>156</v>
      </c>
      <c r="B14" s="9">
        <f>SUM('PL by Month'!B14:M14)</f>
        <v>468000</v>
      </c>
      <c r="C14" s="9">
        <f>SUM('PL by Month'!C14:N14)</f>
        <v>494000</v>
      </c>
      <c r="D14" s="9">
        <f>SUM('PL by Month'!D14:O14)</f>
        <v>497000</v>
      </c>
      <c r="E14" s="9">
        <f>SUM('PL by Month'!E14:P14)</f>
        <v>500000</v>
      </c>
      <c r="F14" s="9">
        <f>SUM('PL by Month'!F14:Q14)</f>
        <v>509000</v>
      </c>
      <c r="G14" s="9">
        <f>SUM('PL by Month'!G14:R14)</f>
        <v>536000</v>
      </c>
      <c r="H14" s="9">
        <f>SUM('PL by Month'!H14:S14)</f>
        <v>541000</v>
      </c>
      <c r="I14" s="9">
        <f>SUM('PL by Month'!I14:T14)</f>
        <v>561000</v>
      </c>
      <c r="J14" s="9">
        <f>SUM('PL by Month'!J14:U14)</f>
        <v>577000</v>
      </c>
      <c r="K14" s="9">
        <f>SUM('PL by Month'!K14:V14)</f>
        <v>578000</v>
      </c>
      <c r="L14" s="9">
        <f>SUM('PL by Month'!L14:W14)</f>
        <v>522000</v>
      </c>
      <c r="M14" s="9">
        <f>SUM('PL by Month'!M14:X14)</f>
        <v>496000</v>
      </c>
      <c r="N14" s="9">
        <f>SUM('PL by Month'!N14:Y14)</f>
        <v>478000</v>
      </c>
      <c r="O14" s="9">
        <f>SUM('PL by Month'!O14:Z14)</f>
        <v>496000</v>
      </c>
      <c r="P14" s="9">
        <f>SUM('PL by Month'!P14:AA14)</f>
        <v>509000</v>
      </c>
      <c r="Q14" s="9">
        <f>SUM('PL by Month'!Q14:AB14)</f>
        <v>512000</v>
      </c>
      <c r="R14" s="9">
        <f>SUM('PL by Month'!R14:AC14)</f>
        <v>541000</v>
      </c>
      <c r="S14" s="9">
        <f>SUM('PL by Month'!S14:AD14)</f>
        <v>539000</v>
      </c>
      <c r="T14" s="9">
        <f>SUM('PL by Month'!T14:AE14)</f>
        <v>542000</v>
      </c>
      <c r="U14" s="9">
        <f>SUM('PL by Month'!U14:AF14)</f>
        <v>543000</v>
      </c>
      <c r="V14" s="9">
        <f>SUM('PL by Month'!V14:AG14)</f>
        <v>569000</v>
      </c>
      <c r="W14" s="9">
        <f>SUM('PL by Month'!W14:AH14)</f>
        <v>554000</v>
      </c>
      <c r="X14" s="9">
        <f>SUM('PL by Month'!X14:AI14)</f>
        <v>564000</v>
      </c>
      <c r="Y14" s="9">
        <f>SUM('PL by Month'!Y14:AJ14)</f>
        <v>567000</v>
      </c>
      <c r="Z14" s="9">
        <f>SUM('PL by Month'!Z14:AK14)</f>
        <v>557000</v>
      </c>
      <c r="AA14" s="9">
        <f>SUM('PL by Month'!AA14:AL14)</f>
        <v>522000</v>
      </c>
      <c r="AB14" s="9">
        <f>SUM('PL by Month'!AB14:AM14)</f>
        <v>524000</v>
      </c>
      <c r="AC14" s="9">
        <f>SUM('PL by Month'!AC14:AN14)</f>
        <v>531000</v>
      </c>
      <c r="AD14" s="9">
        <f>SUM('PL by Month'!AD14:AO14)</f>
        <v>508000</v>
      </c>
      <c r="AE14" s="9">
        <f>SUM('PL by Month'!AE14:AP14)</f>
        <v>503000</v>
      </c>
      <c r="AF14" s="9">
        <f>SUM('PL by Month'!AF14:AQ14)</f>
        <v>500000</v>
      </c>
      <c r="AG14" s="9">
        <f>SUM('PL by Month'!AG14:AR14)</f>
        <v>486000</v>
      </c>
      <c r="AH14" s="9">
        <f>SUM('PL by Month'!AH14:AS14)</f>
        <v>469000</v>
      </c>
      <c r="AI14" s="9">
        <f>SUM('PL by Month'!AI14:AT14)</f>
        <v>465000</v>
      </c>
      <c r="AJ14" s="9">
        <f>SUM('PL by Month'!AJ14:AU14)</f>
        <v>454000</v>
      </c>
      <c r="AK14" s="9">
        <f>SUM('PL by Month'!AK14:AV14)</f>
        <v>448000</v>
      </c>
      <c r="AL14" s="9">
        <f>SUM('PL by Month'!AL14:AW14)</f>
        <v>457000</v>
      </c>
      <c r="AM14" s="9">
        <f>SUM('PL by Month'!AM14:AX14)</f>
        <v>480075.29411764705</v>
      </c>
      <c r="AN14" s="9">
        <f>SUM('PL by Month'!AN14:AY14)</f>
        <v>471434.35294117645</v>
      </c>
      <c r="AO14" s="9">
        <f>SUM('PL by Month'!AO14:AZ14)</f>
        <v>466757.41176470584</v>
      </c>
      <c r="AP14" s="9">
        <f>SUM('PL by Month'!AP14:BA14)</f>
        <v>470762.1176470588</v>
      </c>
      <c r="AQ14" s="9">
        <f>SUM('PL by Month'!AQ14:BB14)</f>
        <v>461623.7647058823</v>
      </c>
      <c r="AR14" s="9">
        <f>SUM('PL by Month'!AR14:BC14)</f>
        <v>466129.1764705882</v>
      </c>
      <c r="AS14" s="9">
        <f>SUM('PL by Month'!AS14:BD14)</f>
        <v>468633.6470588235</v>
      </c>
      <c r="AT14" s="9">
        <f>SUM('PL by Month'!AT14:BE14)</f>
        <v>475033.41176470584</v>
      </c>
      <c r="AU14" s="9">
        <f>SUM('PL by Month'!AU14:BF14)</f>
        <v>472787.0588235294</v>
      </c>
      <c r="AV14" s="9">
        <f>SUM('PL by Month'!AV14:BG14)</f>
        <v>484862.82352941175</v>
      </c>
      <c r="AW14" s="9">
        <f>SUM('PL by Month'!AW14:BH14)</f>
        <v>496508.9411764706</v>
      </c>
      <c r="AX14" s="9">
        <f>SUM('PL by Month'!AX14:BI14)</f>
        <v>500582.8235294118</v>
      </c>
    </row>
    <row r="15" spans="1:50" s="58" customFormat="1" ht="12.75">
      <c r="A15" s="78" t="s">
        <v>158</v>
      </c>
      <c r="B15" s="85">
        <f>B11/B14</f>
        <v>3.4380341880341883</v>
      </c>
      <c r="C15" s="85">
        <f aca="true" t="shared" si="2" ref="C15:AX15">C11/C14</f>
        <v>3.3016194331983804</v>
      </c>
      <c r="D15" s="85">
        <f t="shared" si="2"/>
        <v>3.27364185110664</v>
      </c>
      <c r="E15" s="85">
        <f t="shared" si="2"/>
        <v>3.514</v>
      </c>
      <c r="F15" s="85">
        <f t="shared" si="2"/>
        <v>3.487229862475442</v>
      </c>
      <c r="G15" s="85">
        <f t="shared" si="2"/>
        <v>3.421641791044776</v>
      </c>
      <c r="H15" s="85">
        <f t="shared" si="2"/>
        <v>3.756007393715342</v>
      </c>
      <c r="I15" s="85">
        <f t="shared" si="2"/>
        <v>3.411764705882353</v>
      </c>
      <c r="J15" s="85">
        <f t="shared" si="2"/>
        <v>3.448873483535529</v>
      </c>
      <c r="K15" s="85">
        <f t="shared" si="2"/>
        <v>3.3217993079584773</v>
      </c>
      <c r="L15" s="85">
        <f t="shared" si="2"/>
        <v>3.6685823754789273</v>
      </c>
      <c r="M15" s="85">
        <f t="shared" si="2"/>
        <v>4.088709677419355</v>
      </c>
      <c r="N15" s="85">
        <f t="shared" si="2"/>
        <v>3.928870292887029</v>
      </c>
      <c r="O15" s="85">
        <f t="shared" si="2"/>
        <v>4.477822580645161</v>
      </c>
      <c r="P15" s="85">
        <f t="shared" si="2"/>
        <v>4.4204322200392925</v>
      </c>
      <c r="Q15" s="85">
        <f t="shared" si="2"/>
        <v>3.91796875</v>
      </c>
      <c r="R15" s="85">
        <f t="shared" si="2"/>
        <v>3.833641404805915</v>
      </c>
      <c r="S15" s="85">
        <f t="shared" si="2"/>
        <v>3.8404452690166977</v>
      </c>
      <c r="T15" s="85">
        <f t="shared" si="2"/>
        <v>3.7785977859778597</v>
      </c>
      <c r="U15" s="85">
        <f t="shared" si="2"/>
        <v>3.8195211786372005</v>
      </c>
      <c r="V15" s="85">
        <f t="shared" si="2"/>
        <v>3.7451669595782073</v>
      </c>
      <c r="W15" s="85">
        <f t="shared" si="2"/>
        <v>3.752707581227437</v>
      </c>
      <c r="X15" s="85">
        <f t="shared" si="2"/>
        <v>3.8297872340425534</v>
      </c>
      <c r="Y15" s="85">
        <f t="shared" si="2"/>
        <v>3.8641975308641974</v>
      </c>
      <c r="Z15" s="85">
        <f t="shared" si="2"/>
        <v>3.8312387791741473</v>
      </c>
      <c r="AA15" s="85">
        <f t="shared" si="2"/>
        <v>3.5153256704980844</v>
      </c>
      <c r="AB15" s="85">
        <f t="shared" si="2"/>
        <v>3.435114503816794</v>
      </c>
      <c r="AC15" s="85">
        <f t="shared" si="2"/>
        <v>3.687382297551789</v>
      </c>
      <c r="AD15" s="85">
        <f t="shared" si="2"/>
        <v>3.8661417322834644</v>
      </c>
      <c r="AE15" s="85">
        <f t="shared" si="2"/>
        <v>3.789264413518887</v>
      </c>
      <c r="AF15" s="85">
        <f t="shared" si="2"/>
        <v>3.748</v>
      </c>
      <c r="AG15" s="85">
        <f t="shared" si="2"/>
        <v>3.8559670781893005</v>
      </c>
      <c r="AH15" s="85">
        <f t="shared" si="2"/>
        <v>4.219616204690832</v>
      </c>
      <c r="AI15" s="85">
        <f t="shared" si="2"/>
        <v>4.354838709677419</v>
      </c>
      <c r="AJ15" s="85">
        <f t="shared" si="2"/>
        <v>4.299559471365638</v>
      </c>
      <c r="AK15" s="85">
        <f t="shared" si="2"/>
        <v>4.28125</v>
      </c>
      <c r="AL15" s="85">
        <f t="shared" si="2"/>
        <v>4.258205689277899</v>
      </c>
      <c r="AM15" s="85">
        <f t="shared" si="2"/>
        <v>4.050552119275408</v>
      </c>
      <c r="AN15" s="85">
        <f t="shared" si="2"/>
        <v>4.157728404329017</v>
      </c>
      <c r="AO15" s="85">
        <f t="shared" si="2"/>
        <v>4.324985418801756</v>
      </c>
      <c r="AP15" s="85">
        <f t="shared" si="2"/>
        <v>4.316912775729368</v>
      </c>
      <c r="AQ15" s="85">
        <f t="shared" si="2"/>
        <v>4.526740518507306</v>
      </c>
      <c r="AR15" s="85">
        <f t="shared" si="2"/>
        <v>4.53103797533529</v>
      </c>
      <c r="AS15" s="85">
        <f t="shared" si="2"/>
        <v>4.532203381746083</v>
      </c>
      <c r="AT15" s="85">
        <f t="shared" si="2"/>
        <v>4.428934782048768</v>
      </c>
      <c r="AU15" s="85">
        <f t="shared" si="2"/>
        <v>4.466270725037264</v>
      </c>
      <c r="AV15" s="85">
        <f t="shared" si="2"/>
        <v>4.340231706529973</v>
      </c>
      <c r="AW15" s="85">
        <f t="shared" si="2"/>
        <v>4.291288279625792</v>
      </c>
      <c r="AX15" s="85">
        <f t="shared" si="2"/>
        <v>4.25</v>
      </c>
    </row>
    <row r="16" s="61" customFormat="1" ht="12.75">
      <c r="A16" s="10"/>
    </row>
    <row r="17" spans="1:50" s="58" customFormat="1" ht="12.75">
      <c r="A17" s="10" t="s">
        <v>201</v>
      </c>
      <c r="B17" s="9">
        <f>B11-B14</f>
        <v>1141000</v>
      </c>
      <c r="C17" s="9">
        <f aca="true" t="shared" si="3" ref="C17:AX17">C11-C14</f>
        <v>1137000</v>
      </c>
      <c r="D17" s="9">
        <f t="shared" si="3"/>
        <v>1130000</v>
      </c>
      <c r="E17" s="9">
        <f t="shared" si="3"/>
        <v>1257000</v>
      </c>
      <c r="F17" s="9">
        <f t="shared" si="3"/>
        <v>1266000</v>
      </c>
      <c r="G17" s="9">
        <f t="shared" si="3"/>
        <v>1298000</v>
      </c>
      <c r="H17" s="9">
        <f t="shared" si="3"/>
        <v>1491000</v>
      </c>
      <c r="I17" s="9">
        <f t="shared" si="3"/>
        <v>1353000</v>
      </c>
      <c r="J17" s="9">
        <f t="shared" si="3"/>
        <v>1413000</v>
      </c>
      <c r="K17" s="9">
        <f t="shared" si="3"/>
        <v>1342000</v>
      </c>
      <c r="L17" s="9">
        <f t="shared" si="3"/>
        <v>1393000</v>
      </c>
      <c r="M17" s="9">
        <f t="shared" si="3"/>
        <v>1532000</v>
      </c>
      <c r="N17" s="9">
        <f t="shared" si="3"/>
        <v>1400000</v>
      </c>
      <c r="O17" s="9">
        <f t="shared" si="3"/>
        <v>1725000</v>
      </c>
      <c r="P17" s="9">
        <f t="shared" si="3"/>
        <v>1741000</v>
      </c>
      <c r="Q17" s="9">
        <f t="shared" si="3"/>
        <v>1494000</v>
      </c>
      <c r="R17" s="9">
        <f t="shared" si="3"/>
        <v>1533000</v>
      </c>
      <c r="S17" s="9">
        <f t="shared" si="3"/>
        <v>1531000</v>
      </c>
      <c r="T17" s="9">
        <f t="shared" si="3"/>
        <v>1506000</v>
      </c>
      <c r="U17" s="9">
        <f t="shared" si="3"/>
        <v>1531000</v>
      </c>
      <c r="V17" s="9">
        <f t="shared" si="3"/>
        <v>1562000</v>
      </c>
      <c r="W17" s="9">
        <f t="shared" si="3"/>
        <v>1525000</v>
      </c>
      <c r="X17" s="9">
        <f t="shared" si="3"/>
        <v>1596000</v>
      </c>
      <c r="Y17" s="9">
        <f t="shared" si="3"/>
        <v>1624000</v>
      </c>
      <c r="Z17" s="9">
        <f t="shared" si="3"/>
        <v>1577000</v>
      </c>
      <c r="AA17" s="9">
        <f t="shared" si="3"/>
        <v>1313000</v>
      </c>
      <c r="AB17" s="9">
        <f t="shared" si="3"/>
        <v>1276000</v>
      </c>
      <c r="AC17" s="9">
        <f t="shared" si="3"/>
        <v>1427000</v>
      </c>
      <c r="AD17" s="9">
        <f t="shared" si="3"/>
        <v>1456000</v>
      </c>
      <c r="AE17" s="9">
        <f t="shared" si="3"/>
        <v>1403000</v>
      </c>
      <c r="AF17" s="9">
        <f t="shared" si="3"/>
        <v>1374000</v>
      </c>
      <c r="AG17" s="9">
        <f t="shared" si="3"/>
        <v>1388000</v>
      </c>
      <c r="AH17" s="9">
        <f t="shared" si="3"/>
        <v>1510000</v>
      </c>
      <c r="AI17" s="9">
        <f t="shared" si="3"/>
        <v>1560000</v>
      </c>
      <c r="AJ17" s="9">
        <f t="shared" si="3"/>
        <v>1498000</v>
      </c>
      <c r="AK17" s="9">
        <f t="shared" si="3"/>
        <v>1470000</v>
      </c>
      <c r="AL17" s="9">
        <f t="shared" si="3"/>
        <v>1489000</v>
      </c>
      <c r="AM17" s="9">
        <f t="shared" si="3"/>
        <v>1464494.705882353</v>
      </c>
      <c r="AN17" s="9">
        <f t="shared" si="3"/>
        <v>1488661.6470588236</v>
      </c>
      <c r="AO17" s="9">
        <f t="shared" si="3"/>
        <v>1551961.5882352942</v>
      </c>
      <c r="AP17" s="9">
        <f t="shared" si="3"/>
        <v>1561476.8823529412</v>
      </c>
      <c r="AQ17" s="9">
        <f t="shared" si="3"/>
        <v>1628027.2352941176</v>
      </c>
      <c r="AR17" s="9">
        <f t="shared" si="3"/>
        <v>1645919.8235294118</v>
      </c>
      <c r="AS17" s="9">
        <f t="shared" si="3"/>
        <v>1655309.3529411764</v>
      </c>
      <c r="AT17" s="9">
        <f t="shared" si="3"/>
        <v>1628858.5882352942</v>
      </c>
      <c r="AU17" s="9">
        <f t="shared" si="3"/>
        <v>1638807.9411764706</v>
      </c>
      <c r="AV17" s="9">
        <f t="shared" si="3"/>
        <v>1619554.1764705882</v>
      </c>
      <c r="AW17" s="9">
        <f t="shared" si="3"/>
        <v>1634154.0588235294</v>
      </c>
      <c r="AX17" s="9">
        <f t="shared" si="3"/>
        <v>1626894.1764705882</v>
      </c>
    </row>
    <row r="18" s="58" customFormat="1" ht="12.75">
      <c r="A18" s="10"/>
    </row>
    <row r="19" s="58" customFormat="1" ht="12.75">
      <c r="A19" s="7" t="s">
        <v>80</v>
      </c>
    </row>
    <row r="20" spans="1:50" s="58" customFormat="1" ht="11.25" customHeight="1">
      <c r="A20" s="8" t="s">
        <v>81</v>
      </c>
      <c r="B20" s="58">
        <f>SUM('PL by Month'!B20:M20)</f>
        <v>213000</v>
      </c>
      <c r="C20" s="58">
        <f>SUM('PL by Month'!C20:N20)</f>
        <v>218000</v>
      </c>
      <c r="D20" s="58">
        <f>SUM('PL by Month'!D20:O20)</f>
        <v>234000</v>
      </c>
      <c r="E20" s="58">
        <f>SUM('PL by Month'!E20:P20)</f>
        <v>259000</v>
      </c>
      <c r="F20" s="58">
        <f>SUM('PL by Month'!F20:Q20)</f>
        <v>258000</v>
      </c>
      <c r="G20" s="58">
        <f>SUM('PL by Month'!G20:R20)</f>
        <v>257000</v>
      </c>
      <c r="H20" s="58">
        <f>SUM('PL by Month'!H20:S20)</f>
        <v>287000</v>
      </c>
      <c r="I20" s="58">
        <f>SUM('PL by Month'!I20:T20)</f>
        <v>282000</v>
      </c>
      <c r="J20" s="58">
        <f>SUM('PL by Month'!J20:U20)</f>
        <v>282000</v>
      </c>
      <c r="K20" s="58">
        <f>SUM('PL by Month'!K20:V20)</f>
        <v>292000</v>
      </c>
      <c r="L20" s="58">
        <f>SUM('PL by Month'!L20:W20)</f>
        <v>286000</v>
      </c>
      <c r="M20" s="58">
        <f>SUM('PL by Month'!M20:X20)</f>
        <v>290000</v>
      </c>
      <c r="N20" s="58">
        <f>SUM('PL by Month'!N20:Y20)</f>
        <v>313000</v>
      </c>
      <c r="O20" s="58">
        <f>SUM('PL by Month'!O20:Z20)</f>
        <v>458000</v>
      </c>
      <c r="P20" s="58">
        <f>SUM('PL by Month'!P20:AA20)</f>
        <v>447000</v>
      </c>
      <c r="Q20" s="58">
        <f>SUM('PL by Month'!Q20:AB20)</f>
        <v>422000</v>
      </c>
      <c r="R20" s="58">
        <f>SUM('PL by Month'!R20:AC20)</f>
        <v>420000</v>
      </c>
      <c r="S20" s="58">
        <f>SUM('PL by Month'!S20:AD20)</f>
        <v>423000</v>
      </c>
      <c r="T20" s="58">
        <f>SUM('PL by Month'!T20:AE20)</f>
        <v>396000</v>
      </c>
      <c r="U20" s="58">
        <f>SUM('PL by Month'!U20:AF20)</f>
        <v>409000</v>
      </c>
      <c r="V20" s="58">
        <f>SUM('PL by Month'!V20:AG20)</f>
        <v>422000</v>
      </c>
      <c r="W20" s="58">
        <f>SUM('PL by Month'!W20:AH20)</f>
        <v>412000</v>
      </c>
      <c r="X20" s="58">
        <f>SUM('PL by Month'!X20:AI20)</f>
        <v>413000</v>
      </c>
      <c r="Y20" s="58">
        <f>SUM('PL by Month'!Y20:AJ20)</f>
        <v>432000</v>
      </c>
      <c r="Z20" s="58">
        <f>SUM('PL by Month'!Z20:AK20)</f>
        <v>374000</v>
      </c>
      <c r="AA20" s="58">
        <f>SUM('PL by Month'!AA20:AL20)</f>
        <v>241000</v>
      </c>
      <c r="AB20" s="58">
        <f>SUM('PL by Month'!AB20:AM20)</f>
        <v>237000</v>
      </c>
      <c r="AC20" s="58">
        <f>SUM('PL by Month'!AC20:AN20)</f>
        <v>240000</v>
      </c>
      <c r="AD20" s="58">
        <f>SUM('PL by Month'!AD20:AO20)</f>
        <v>233000</v>
      </c>
      <c r="AE20" s="58">
        <f>SUM('PL by Month'!AE20:AP20)</f>
        <v>240000</v>
      </c>
      <c r="AF20" s="58">
        <f>SUM('PL by Month'!AF20:AQ20)</f>
        <v>253000</v>
      </c>
      <c r="AG20" s="58">
        <f>SUM('PL by Month'!AG20:AR20)</f>
        <v>260000</v>
      </c>
      <c r="AH20" s="58">
        <f>SUM('PL by Month'!AH20:AS20)</f>
        <v>280000</v>
      </c>
      <c r="AI20" s="58">
        <f>SUM('PL by Month'!AI20:AT20)</f>
        <v>313000</v>
      </c>
      <c r="AJ20" s="58">
        <f>SUM('PL by Month'!AJ20:AU20)</f>
        <v>334000</v>
      </c>
      <c r="AK20" s="58">
        <f>SUM('PL by Month'!AK20:AV20)</f>
        <v>313000</v>
      </c>
      <c r="AL20" s="58">
        <f>SUM('PL by Month'!AL20:AW20)</f>
        <v>323000</v>
      </c>
      <c r="AM20" s="58">
        <f>SUM('PL by Month'!AM20:AX20)</f>
        <v>302181.8181818182</v>
      </c>
      <c r="AN20" s="58">
        <f>SUM('PL by Month'!AN20:AY20)</f>
        <v>305652.8925619835</v>
      </c>
      <c r="AO20" s="58">
        <f>SUM('PL by Month'!AO20:AZ20)</f>
        <v>330166.7918858002</v>
      </c>
      <c r="AP20" s="58">
        <f>SUM('PL by Month'!AP20:BA20)</f>
        <v>360181.9547845093</v>
      </c>
      <c r="AQ20" s="58">
        <f>SUM('PL by Month'!AQ20:BB20)</f>
        <v>361289.40521946474</v>
      </c>
      <c r="AR20" s="58">
        <f>SUM('PL by Month'!AR20:BC20)</f>
        <v>358133.8966030524</v>
      </c>
      <c r="AS20" s="58">
        <f>SUM('PL by Month'!AS20:BD20)</f>
        <v>352509.70538514806</v>
      </c>
      <c r="AT20" s="58">
        <f>SUM('PL by Month'!AT20:BE20)</f>
        <v>338737.86042016145</v>
      </c>
      <c r="AU20" s="58">
        <f>SUM('PL by Month'!AU20:BF20)</f>
        <v>316077.66591290344</v>
      </c>
      <c r="AV20" s="58">
        <f>SUM('PL by Month'!AV20:BG20)</f>
        <v>304448.3628140765</v>
      </c>
      <c r="AW20" s="58">
        <f>SUM('PL by Month'!AW20:BH20)</f>
        <v>323398.21397899254</v>
      </c>
      <c r="AX20" s="58">
        <f>SUM('PL by Month'!AX20:BI20)</f>
        <v>332070.7788861737</v>
      </c>
    </row>
    <row r="21" spans="1:50" s="58" customFormat="1" ht="12.75">
      <c r="A21" s="8" t="s">
        <v>99</v>
      </c>
      <c r="B21" s="58">
        <f>SUM('PL by Month'!B21:M21)</f>
        <v>57000</v>
      </c>
      <c r="C21" s="58">
        <f>SUM('PL by Month'!C21:N21)</f>
        <v>59000</v>
      </c>
      <c r="D21" s="58">
        <f>SUM('PL by Month'!D21:O21)</f>
        <v>67000</v>
      </c>
      <c r="E21" s="58">
        <f>SUM('PL by Month'!E21:P21)</f>
        <v>70000</v>
      </c>
      <c r="F21" s="58">
        <f>SUM('PL by Month'!F21:Q21)</f>
        <v>76000</v>
      </c>
      <c r="G21" s="58">
        <f>SUM('PL by Month'!G21:R21)</f>
        <v>80000</v>
      </c>
      <c r="H21" s="58">
        <f>SUM('PL by Month'!H21:S21)</f>
        <v>86000</v>
      </c>
      <c r="I21" s="58">
        <f>SUM('PL by Month'!I21:T21)</f>
        <v>86000</v>
      </c>
      <c r="J21" s="58">
        <f>SUM('PL by Month'!J21:U21)</f>
        <v>93000</v>
      </c>
      <c r="K21" s="58">
        <f>SUM('PL by Month'!K21:V21)</f>
        <v>95000</v>
      </c>
      <c r="L21" s="58">
        <f>SUM('PL by Month'!L21:W21)</f>
        <v>98000</v>
      </c>
      <c r="M21" s="58">
        <f>SUM('PL by Month'!M21:X21)</f>
        <v>102000</v>
      </c>
      <c r="N21" s="58">
        <f>SUM('PL by Month'!N21:Y21)</f>
        <v>73000</v>
      </c>
      <c r="O21" s="58">
        <f>SUM('PL by Month'!O21:Z21)</f>
        <v>72000</v>
      </c>
      <c r="P21" s="58">
        <f>SUM('PL by Month'!P21:AA21)</f>
        <v>75000</v>
      </c>
      <c r="Q21" s="58">
        <f>SUM('PL by Month'!Q21:AB21)</f>
        <v>77000</v>
      </c>
      <c r="R21" s="58">
        <f>SUM('PL by Month'!R21:AC21)</f>
        <v>76000</v>
      </c>
      <c r="S21" s="58">
        <f>SUM('PL by Month'!S21:AD21)</f>
        <v>76000</v>
      </c>
      <c r="T21" s="58">
        <f>SUM('PL by Month'!T21:AE21)</f>
        <v>71000</v>
      </c>
      <c r="U21" s="58">
        <f>SUM('PL by Month'!U21:AF21)</f>
        <v>75000</v>
      </c>
      <c r="V21" s="58">
        <f>SUM('PL by Month'!V21:AG21)</f>
        <v>71000</v>
      </c>
      <c r="W21" s="58">
        <f>SUM('PL by Month'!W21:AH21)</f>
        <v>71000</v>
      </c>
      <c r="X21" s="58">
        <f>SUM('PL by Month'!X21:AI21)</f>
        <v>72000</v>
      </c>
      <c r="Y21" s="58">
        <f>SUM('PL by Month'!Y21:AJ21)</f>
        <v>72000</v>
      </c>
      <c r="Z21" s="58">
        <f>SUM('PL by Month'!Z21:AK21)</f>
        <v>72000</v>
      </c>
      <c r="AA21" s="58">
        <f>SUM('PL by Month'!AA21:AL21)</f>
        <v>72000</v>
      </c>
      <c r="AB21" s="58">
        <f>SUM('PL by Month'!AB21:AM21)</f>
        <v>66000</v>
      </c>
      <c r="AC21" s="58">
        <f>SUM('PL by Month'!AC21:AN21)</f>
        <v>68000</v>
      </c>
      <c r="AD21" s="58">
        <f>SUM('PL by Month'!AD21:AO21)</f>
        <v>66000</v>
      </c>
      <c r="AE21" s="58">
        <f>SUM('PL by Month'!AE21:AP21)</f>
        <v>70000</v>
      </c>
      <c r="AF21" s="58">
        <f>SUM('PL by Month'!AF21:AQ21)</f>
        <v>71000</v>
      </c>
      <c r="AG21" s="58">
        <f>SUM('PL by Month'!AG21:AR21)</f>
        <v>69000</v>
      </c>
      <c r="AH21" s="58">
        <f>SUM('PL by Month'!AH21:AS21)</f>
        <v>68000</v>
      </c>
      <c r="AI21" s="58">
        <f>SUM('PL by Month'!AI21:AT21)</f>
        <v>68000</v>
      </c>
      <c r="AJ21" s="58">
        <f>SUM('PL by Month'!AJ21:AU21)</f>
        <v>70000</v>
      </c>
      <c r="AK21" s="58">
        <f>SUM('PL by Month'!AK21:AV21)</f>
        <v>70000</v>
      </c>
      <c r="AL21" s="58">
        <f>SUM('PL by Month'!AL21:AW21)</f>
        <v>69000</v>
      </c>
      <c r="AM21" s="58">
        <f>SUM('PL by Month'!AM21:AX21)</f>
        <v>72355</v>
      </c>
      <c r="AN21" s="58">
        <f>SUM('PL by Month'!AN21:AY21)</f>
        <v>71841.81818181818</v>
      </c>
      <c r="AO21" s="58">
        <f>SUM('PL by Month'!AO21:AZ21)</f>
        <v>68009.25619834711</v>
      </c>
      <c r="AP21" s="58">
        <f>SUM('PL by Month'!AP21:BA21)</f>
        <v>68191.9158527423</v>
      </c>
      <c r="AQ21" s="58">
        <f>SUM('PL by Month'!AQ21:BB21)</f>
        <v>65118.45365753705</v>
      </c>
      <c r="AR21" s="58">
        <f>SUM('PL by Month'!AR21:BC21)</f>
        <v>67220.1312627677</v>
      </c>
      <c r="AS21" s="58">
        <f>SUM('PL by Month'!AS21:BD21)</f>
        <v>68421.96137756476</v>
      </c>
      <c r="AT21" s="58">
        <f>SUM('PL by Month'!AT21:BE21)</f>
        <v>68642.13968461611</v>
      </c>
      <c r="AU21" s="58">
        <f>SUM('PL by Month'!AU21:BF21)</f>
        <v>69973.24329230847</v>
      </c>
      <c r="AV21" s="58">
        <f>SUM('PL by Month'!AV21:BG21)</f>
        <v>68152.62904615469</v>
      </c>
      <c r="AW21" s="58">
        <f>SUM('PL by Month'!AW21:BH21)</f>
        <v>69439.2316867142</v>
      </c>
      <c r="AX21" s="58">
        <f>SUM('PL by Month'!AX21:BI21)</f>
        <v>71933.70729459732</v>
      </c>
    </row>
    <row r="22" spans="1:50" s="61" customFormat="1" ht="12.75">
      <c r="A22" s="8" t="s">
        <v>162</v>
      </c>
      <c r="B22" s="58">
        <f>SUM('PL by Month'!B22:M22)</f>
        <v>362000</v>
      </c>
      <c r="C22" s="58">
        <f>SUM('PL by Month'!C22:N22)</f>
        <v>359000</v>
      </c>
      <c r="D22" s="58">
        <f>SUM('PL by Month'!D22:O22)</f>
        <v>375000</v>
      </c>
      <c r="E22" s="58">
        <f>SUM('PL by Month'!E22:P22)</f>
        <v>398000</v>
      </c>
      <c r="F22" s="58">
        <f>SUM('PL by Month'!F22:Q22)</f>
        <v>415000</v>
      </c>
      <c r="G22" s="58">
        <f>SUM('PL by Month'!G22:R22)</f>
        <v>418000</v>
      </c>
      <c r="H22" s="58">
        <f>SUM('PL by Month'!H22:S22)</f>
        <v>425000</v>
      </c>
      <c r="I22" s="58">
        <f>SUM('PL by Month'!I22:T22)</f>
        <v>433000</v>
      </c>
      <c r="J22" s="58">
        <f>SUM('PL by Month'!J22:U22)</f>
        <v>441000</v>
      </c>
      <c r="K22" s="58">
        <f>SUM('PL by Month'!K22:V22)</f>
        <v>478000</v>
      </c>
      <c r="L22" s="58">
        <f>SUM('PL by Month'!L22:W22)</f>
        <v>494000</v>
      </c>
      <c r="M22" s="58">
        <f>SUM('PL by Month'!M22:X22)</f>
        <v>514000</v>
      </c>
      <c r="N22" s="58">
        <f>SUM('PL by Month'!N22:Y22)</f>
        <v>548000</v>
      </c>
      <c r="O22" s="58">
        <f>SUM('PL by Month'!O22:Z22)</f>
        <v>553000</v>
      </c>
      <c r="P22" s="58">
        <f>SUM('PL by Month'!P22:AA22)</f>
        <v>537000</v>
      </c>
      <c r="Q22" s="58">
        <f>SUM('PL by Month'!Q22:AB22)</f>
        <v>528000</v>
      </c>
      <c r="R22" s="58">
        <f>SUM('PL by Month'!R22:AC22)</f>
        <v>491000</v>
      </c>
      <c r="S22" s="58">
        <f>SUM('PL by Month'!S22:AD22)</f>
        <v>482000</v>
      </c>
      <c r="T22" s="58">
        <f>SUM('PL by Month'!T22:AE22)</f>
        <v>468000</v>
      </c>
      <c r="U22" s="58">
        <f>SUM('PL by Month'!U22:AF22)</f>
        <v>453000</v>
      </c>
      <c r="V22" s="58">
        <f>SUM('PL by Month'!V22:AG22)</f>
        <v>453000</v>
      </c>
      <c r="W22" s="58">
        <f>SUM('PL by Month'!W22:AH22)</f>
        <v>430000</v>
      </c>
      <c r="X22" s="58">
        <f>SUM('PL by Month'!X22:AI22)</f>
        <v>422000</v>
      </c>
      <c r="Y22" s="58">
        <f>SUM('PL by Month'!Y22:AJ22)</f>
        <v>417000</v>
      </c>
      <c r="Z22" s="58">
        <f>SUM('PL by Month'!Z22:AK22)</f>
        <v>404000</v>
      </c>
      <c r="AA22" s="58">
        <f>SUM('PL by Month'!AA22:AL22)</f>
        <v>400000</v>
      </c>
      <c r="AB22" s="58">
        <f>SUM('PL by Month'!AB22:AM22)</f>
        <v>397000</v>
      </c>
      <c r="AC22" s="58">
        <f>SUM('PL by Month'!AC22:AN22)</f>
        <v>401000</v>
      </c>
      <c r="AD22" s="58">
        <f>SUM('PL by Month'!AD22:AO22)</f>
        <v>405000</v>
      </c>
      <c r="AE22" s="58">
        <f>SUM('PL by Month'!AE22:AP22)</f>
        <v>408000</v>
      </c>
      <c r="AF22" s="58">
        <f>SUM('PL by Month'!AF22:AQ22)</f>
        <v>412000</v>
      </c>
      <c r="AG22" s="58">
        <f>SUM('PL by Month'!AG22:AR22)</f>
        <v>415000</v>
      </c>
      <c r="AH22" s="58">
        <f>SUM('PL by Month'!AH22:AS22)</f>
        <v>419000</v>
      </c>
      <c r="AI22" s="58">
        <f>SUM('PL by Month'!AI22:AT22)</f>
        <v>421000</v>
      </c>
      <c r="AJ22" s="58">
        <f>SUM('PL by Month'!AJ22:AU22)</f>
        <v>420000</v>
      </c>
      <c r="AK22" s="58">
        <f>SUM('PL by Month'!AK22:AV22)</f>
        <v>421000</v>
      </c>
      <c r="AL22" s="58">
        <f>SUM('PL by Month'!AL22:AW22)</f>
        <v>420000</v>
      </c>
      <c r="AM22" s="58">
        <f>SUM('PL by Month'!AM22:AX22)</f>
        <v>430141.34453781514</v>
      </c>
      <c r="AN22" s="58">
        <f>SUM('PL by Month'!AN22:AY22)</f>
        <v>420046.1848739496</v>
      </c>
      <c r="AO22" s="58">
        <f>SUM('PL by Month'!AO22:AZ22)</f>
        <v>388131.8823529412</v>
      </c>
      <c r="AP22" s="58">
        <f>SUM('PL by Month'!AP22:BA22)</f>
        <v>398564.8235294118</v>
      </c>
      <c r="AQ22" s="58">
        <f>SUM('PL by Month'!AQ22:BB22)</f>
        <v>409007.7815126051</v>
      </c>
      <c r="AR22" s="58">
        <f>SUM('PL by Month'!AR22:BC22)</f>
        <v>428405.66386554623</v>
      </c>
      <c r="AS22" s="58">
        <f>SUM('PL by Month'!AS22:BD22)</f>
        <v>439516.9579831932</v>
      </c>
      <c r="AT22" s="58">
        <f>SUM('PL by Month'!AT22:BE22)</f>
        <v>458673.8823529411</v>
      </c>
      <c r="AU22" s="58">
        <f>SUM('PL by Month'!AU22:BF22)</f>
        <v>460659.4117647058</v>
      </c>
      <c r="AV22" s="58">
        <f>SUM('PL by Month'!AV22:BG22)</f>
        <v>470444.050420168</v>
      </c>
      <c r="AW22" s="58">
        <f>SUM('PL by Month'!AW22:BH22)</f>
        <v>470615.44537815126</v>
      </c>
      <c r="AX22" s="58">
        <f>SUM('PL by Month'!AX22:BI22)</f>
        <v>464826.90756302513</v>
      </c>
    </row>
    <row r="23" spans="1:50" s="58" customFormat="1" ht="12.75">
      <c r="A23" s="8" t="s">
        <v>111</v>
      </c>
      <c r="B23" s="58">
        <f>SUM('PL by Month'!B23:M23)</f>
        <v>199000</v>
      </c>
      <c r="C23" s="58">
        <f>SUM('PL by Month'!C23:N23)</f>
        <v>195000</v>
      </c>
      <c r="D23" s="58">
        <f>SUM('PL by Month'!D23:O23)</f>
        <v>197000</v>
      </c>
      <c r="E23" s="58">
        <f>SUM('PL by Month'!E23:P23)</f>
        <v>196000</v>
      </c>
      <c r="F23" s="58">
        <f>SUM('PL by Month'!F23:Q23)</f>
        <v>193000</v>
      </c>
      <c r="G23" s="58">
        <f>SUM('PL by Month'!G23:R23)</f>
        <v>191000</v>
      </c>
      <c r="H23" s="58">
        <f>SUM('PL by Month'!H23:S23)</f>
        <v>191000</v>
      </c>
      <c r="I23" s="58">
        <f>SUM('PL by Month'!I23:T23)</f>
        <v>186000</v>
      </c>
      <c r="J23" s="58">
        <f>SUM('PL by Month'!J23:U23)</f>
        <v>191000</v>
      </c>
      <c r="K23" s="58">
        <f>SUM('PL by Month'!K23:V23)</f>
        <v>189000</v>
      </c>
      <c r="L23" s="58">
        <f>SUM('PL by Month'!L23:W23)</f>
        <v>202000</v>
      </c>
      <c r="M23" s="58">
        <f>SUM('PL by Month'!M23:X23)</f>
        <v>202000</v>
      </c>
      <c r="N23" s="58">
        <f>SUM('PL by Month'!N23:Y23)</f>
        <v>203000</v>
      </c>
      <c r="O23" s="58">
        <f>SUM('PL by Month'!O23:Z23)</f>
        <v>212000</v>
      </c>
      <c r="P23" s="58">
        <f>SUM('PL by Month'!P23:AA23)</f>
        <v>214000</v>
      </c>
      <c r="Q23" s="58">
        <f>SUM('PL by Month'!Q23:AB23)</f>
        <v>218000</v>
      </c>
      <c r="R23" s="58">
        <f>SUM('PL by Month'!R23:AC23)</f>
        <v>221000</v>
      </c>
      <c r="S23" s="58">
        <f>SUM('PL by Month'!S23:AD23)</f>
        <v>222000</v>
      </c>
      <c r="T23" s="58">
        <f>SUM('PL by Month'!T23:AE23)</f>
        <v>220000</v>
      </c>
      <c r="U23" s="58">
        <f>SUM('PL by Month'!U23:AF23)</f>
        <v>217000</v>
      </c>
      <c r="V23" s="58">
        <f>SUM('PL by Month'!V23:AG23)</f>
        <v>218000</v>
      </c>
      <c r="W23" s="58">
        <f>SUM('PL by Month'!W23:AH23)</f>
        <v>216000</v>
      </c>
      <c r="X23" s="58">
        <f>SUM('PL by Month'!X23:AI23)</f>
        <v>207000</v>
      </c>
      <c r="Y23" s="58">
        <f>SUM('PL by Month'!Y23:AJ23)</f>
        <v>201000</v>
      </c>
      <c r="Z23" s="58">
        <f>SUM('PL by Month'!Z23:AK23)</f>
        <v>196000</v>
      </c>
      <c r="AA23" s="58">
        <f>SUM('PL by Month'!AA23:AL23)</f>
        <v>189000</v>
      </c>
      <c r="AB23" s="58">
        <f>SUM('PL by Month'!AB23:AM23)</f>
        <v>188000</v>
      </c>
      <c r="AC23" s="58">
        <f>SUM('PL by Month'!AC23:AN23)</f>
        <v>191000</v>
      </c>
      <c r="AD23" s="58">
        <f>SUM('PL by Month'!AD23:AO23)</f>
        <v>186000</v>
      </c>
      <c r="AE23" s="58">
        <f>SUM('PL by Month'!AE23:AP23)</f>
        <v>188000</v>
      </c>
      <c r="AF23" s="58">
        <f>SUM('PL by Month'!AF23:AQ23)</f>
        <v>187000</v>
      </c>
      <c r="AG23" s="58">
        <f>SUM('PL by Month'!AG23:AR23)</f>
        <v>185000</v>
      </c>
      <c r="AH23" s="58">
        <f>SUM('PL by Month'!AH23:AS23)</f>
        <v>180000</v>
      </c>
      <c r="AI23" s="58">
        <f>SUM('PL by Month'!AI23:AT23)</f>
        <v>176000</v>
      </c>
      <c r="AJ23" s="58">
        <f>SUM('PL by Month'!AJ23:AU23)</f>
        <v>175000</v>
      </c>
      <c r="AK23" s="58">
        <f>SUM('PL by Month'!AK23:AV23)</f>
        <v>175000</v>
      </c>
      <c r="AL23" s="58">
        <f>SUM('PL by Month'!AL23:AW23)</f>
        <v>176000</v>
      </c>
      <c r="AM23" s="58">
        <f>SUM('PL by Month'!AM23:AX23)</f>
        <v>180843.32773109243</v>
      </c>
      <c r="AN23" s="58">
        <f>SUM('PL by Month'!AN23:AY23)</f>
        <v>183101.81207028264</v>
      </c>
      <c r="AO23" s="58">
        <f>SUM('PL by Month'!AO23:AZ23)</f>
        <v>181201.9768039447</v>
      </c>
      <c r="AP23" s="58">
        <f>SUM('PL by Month'!AP23:BA23)</f>
        <v>179129.42924066694</v>
      </c>
      <c r="AQ23" s="58">
        <f>SUM('PL by Month'!AQ23:BB23)</f>
        <v>171413.9228080003</v>
      </c>
      <c r="AR23" s="58">
        <f>SUM('PL by Month'!AR23:BC23)</f>
        <v>168451.55215418214</v>
      </c>
      <c r="AS23" s="58">
        <f>SUM('PL by Month'!AS23:BD23)</f>
        <v>167401.69325910782</v>
      </c>
      <c r="AT23" s="58">
        <f>SUM('PL by Month'!AT23:BE23)</f>
        <v>160801.847191754</v>
      </c>
      <c r="AU23" s="58">
        <f>SUM('PL by Month'!AU23:BF23)</f>
        <v>159056.56057282252</v>
      </c>
      <c r="AV23" s="58">
        <f>SUM('PL by Month'!AV23:BG23)</f>
        <v>161516.24789762456</v>
      </c>
      <c r="AW23" s="58">
        <f>SUM('PL by Month'!AW23:BH23)</f>
        <v>166381.36134286315</v>
      </c>
      <c r="AX23" s="58">
        <f>SUM('PL by Month'!AX23:BI23)</f>
        <v>171688.757828578</v>
      </c>
    </row>
    <row r="24" spans="1:50" s="58" customFormat="1" ht="12.75">
      <c r="A24" s="8" t="s">
        <v>82</v>
      </c>
      <c r="B24" s="9">
        <f>SUM('PL by Month'!B24:M24)</f>
        <v>97000</v>
      </c>
      <c r="C24" s="9">
        <f>SUM('PL by Month'!C24:N24)</f>
        <v>101000</v>
      </c>
      <c r="D24" s="9">
        <f>SUM('PL by Month'!D24:O24)</f>
        <v>87000</v>
      </c>
      <c r="E24" s="9">
        <f>SUM('PL by Month'!E24:P24)</f>
        <v>82000</v>
      </c>
      <c r="F24" s="9">
        <f>SUM('PL by Month'!F24:Q24)</f>
        <v>71000</v>
      </c>
      <c r="G24" s="9">
        <f>SUM('PL by Month'!G24:R24)</f>
        <v>67000</v>
      </c>
      <c r="H24" s="9">
        <f>SUM('PL by Month'!H24:S24)</f>
        <v>73000</v>
      </c>
      <c r="I24" s="9">
        <f>SUM('PL by Month'!I24:T24)</f>
        <v>70000</v>
      </c>
      <c r="J24" s="9">
        <f>SUM('PL by Month'!J24:U24)</f>
        <v>71000</v>
      </c>
      <c r="K24" s="9">
        <f>SUM('PL by Month'!K24:V24)</f>
        <v>73000</v>
      </c>
      <c r="L24" s="9">
        <f>SUM('PL by Month'!L24:W24)</f>
        <v>68000</v>
      </c>
      <c r="M24" s="9">
        <f>SUM('PL by Month'!M24:X24)</f>
        <v>59000</v>
      </c>
      <c r="N24" s="9">
        <f>SUM('PL by Month'!N24:Y24)</f>
        <v>52000</v>
      </c>
      <c r="O24" s="9">
        <f>SUM('PL by Month'!O24:Z24)</f>
        <v>52000</v>
      </c>
      <c r="P24" s="9">
        <f>SUM('PL by Month'!P24:AA24)</f>
        <v>65000</v>
      </c>
      <c r="Q24" s="9">
        <f>SUM('PL by Month'!Q24:AB24)</f>
        <v>81000</v>
      </c>
      <c r="R24" s="9">
        <f>SUM('PL by Month'!R24:AC24)</f>
        <v>96000</v>
      </c>
      <c r="S24" s="9">
        <f>SUM('PL by Month'!S24:AD24)</f>
        <v>102000</v>
      </c>
      <c r="T24" s="9">
        <f>SUM('PL by Month'!T24:AE24)</f>
        <v>98000</v>
      </c>
      <c r="U24" s="9">
        <f>SUM('PL by Month'!U24:AF24)</f>
        <v>105000</v>
      </c>
      <c r="V24" s="9">
        <f>SUM('PL by Month'!V24:AG24)</f>
        <v>100000</v>
      </c>
      <c r="W24" s="9">
        <f>SUM('PL by Month'!W24:AH24)</f>
        <v>99000</v>
      </c>
      <c r="X24" s="9">
        <f>SUM('PL by Month'!X24:AI24)</f>
        <v>108000</v>
      </c>
      <c r="Y24" s="9">
        <f>SUM('PL by Month'!Y24:AJ24)</f>
        <v>114000</v>
      </c>
      <c r="Z24" s="9">
        <f>SUM('PL by Month'!Z24:AK24)</f>
        <v>136000</v>
      </c>
      <c r="AA24" s="9">
        <f>SUM('PL by Month'!AA24:AL24)</f>
        <v>142000</v>
      </c>
      <c r="AB24" s="9">
        <f>SUM('PL by Month'!AB24:AM24)</f>
        <v>148000</v>
      </c>
      <c r="AC24" s="9">
        <f>SUM('PL by Month'!AC24:AN24)</f>
        <v>137000</v>
      </c>
      <c r="AD24" s="9">
        <f>SUM('PL by Month'!AD24:AO24)</f>
        <v>126000</v>
      </c>
      <c r="AE24" s="9">
        <f>SUM('PL by Month'!AE24:AP24)</f>
        <v>120000</v>
      </c>
      <c r="AF24" s="9">
        <f>SUM('PL by Month'!AF24:AQ24)</f>
        <v>122000</v>
      </c>
      <c r="AG24" s="9">
        <f>SUM('PL by Month'!AG24:AR24)</f>
        <v>133000</v>
      </c>
      <c r="AH24" s="9">
        <f>SUM('PL by Month'!AH24:AS24)</f>
        <v>132000</v>
      </c>
      <c r="AI24" s="9">
        <f>SUM('PL by Month'!AI24:AT24)</f>
        <v>137000</v>
      </c>
      <c r="AJ24" s="9">
        <f>SUM('PL by Month'!AJ24:AU24)</f>
        <v>135000</v>
      </c>
      <c r="AK24" s="9">
        <f>SUM('PL by Month'!AK24:AV24)</f>
        <v>148000</v>
      </c>
      <c r="AL24" s="9">
        <f>SUM('PL by Month'!AL24:AW24)</f>
        <v>135000</v>
      </c>
      <c r="AM24" s="9">
        <f>SUM('PL by Month'!AM24:AX24)</f>
        <v>132144</v>
      </c>
      <c r="AN24" s="9">
        <f>SUM('PL by Month'!AN24:AY24)</f>
        <v>133248</v>
      </c>
      <c r="AO24" s="9">
        <f>SUM('PL by Month'!AO24:AZ24)</f>
        <v>138816</v>
      </c>
      <c r="AP24" s="9">
        <f>SUM('PL by Month'!AP24:BA24)</f>
        <v>142708.36363636365</v>
      </c>
      <c r="AQ24" s="9">
        <f>SUM('PL by Month'!AQ24:BB24)</f>
        <v>153500.03305785125</v>
      </c>
      <c r="AR24" s="9">
        <f>SUM('PL by Month'!AR24:BC24)</f>
        <v>157636.3996994741</v>
      </c>
      <c r="AS24" s="9">
        <f>SUM('PL by Month'!AS24:BD24)</f>
        <v>150148.79967215355</v>
      </c>
      <c r="AT24" s="9">
        <f>SUM('PL by Month'!AT24:BE24)</f>
        <v>153980.5087332584</v>
      </c>
      <c r="AU24" s="9">
        <f>SUM('PL by Month'!AU24:BF24)</f>
        <v>153796.91861810008</v>
      </c>
      <c r="AV24" s="9">
        <f>SUM('PL by Month'!AV24:BG24)</f>
        <v>157960.27485610917</v>
      </c>
      <c r="AW24" s="9">
        <f>SUM('PL by Month'!AW24:BH24)</f>
        <v>149411.20893393728</v>
      </c>
      <c r="AX24" s="9">
        <f>SUM('PL by Month'!AX24:BI24)</f>
        <v>148812.22792793158</v>
      </c>
    </row>
    <row r="25" spans="1:50" s="58" customFormat="1" ht="12.75">
      <c r="A25" s="10" t="s">
        <v>83</v>
      </c>
      <c r="B25" s="77">
        <f>SUM(B20:B24)</f>
        <v>928000</v>
      </c>
      <c r="C25" s="77">
        <f aca="true" t="shared" si="4" ref="C25:AX25">SUM(C20:C24)</f>
        <v>932000</v>
      </c>
      <c r="D25" s="77">
        <f t="shared" si="4"/>
        <v>960000</v>
      </c>
      <c r="E25" s="77">
        <f t="shared" si="4"/>
        <v>1005000</v>
      </c>
      <c r="F25" s="77">
        <f t="shared" si="4"/>
        <v>1013000</v>
      </c>
      <c r="G25" s="77">
        <f t="shared" si="4"/>
        <v>1013000</v>
      </c>
      <c r="H25" s="77">
        <f t="shared" si="4"/>
        <v>1062000</v>
      </c>
      <c r="I25" s="77">
        <f t="shared" si="4"/>
        <v>1057000</v>
      </c>
      <c r="J25" s="77">
        <f t="shared" si="4"/>
        <v>1078000</v>
      </c>
      <c r="K25" s="77">
        <f t="shared" si="4"/>
        <v>1127000</v>
      </c>
      <c r="L25" s="77">
        <f t="shared" si="4"/>
        <v>1148000</v>
      </c>
      <c r="M25" s="77">
        <f t="shared" si="4"/>
        <v>1167000</v>
      </c>
      <c r="N25" s="77">
        <f t="shared" si="4"/>
        <v>1189000</v>
      </c>
      <c r="O25" s="77">
        <f t="shared" si="4"/>
        <v>1347000</v>
      </c>
      <c r="P25" s="77">
        <f t="shared" si="4"/>
        <v>1338000</v>
      </c>
      <c r="Q25" s="77">
        <f t="shared" si="4"/>
        <v>1326000</v>
      </c>
      <c r="R25" s="77">
        <f t="shared" si="4"/>
        <v>1304000</v>
      </c>
      <c r="S25" s="77">
        <f t="shared" si="4"/>
        <v>1305000</v>
      </c>
      <c r="T25" s="77">
        <f t="shared" si="4"/>
        <v>1253000</v>
      </c>
      <c r="U25" s="77">
        <f t="shared" si="4"/>
        <v>1259000</v>
      </c>
      <c r="V25" s="77">
        <f t="shared" si="4"/>
        <v>1264000</v>
      </c>
      <c r="W25" s="77">
        <f t="shared" si="4"/>
        <v>1228000</v>
      </c>
      <c r="X25" s="77">
        <f t="shared" si="4"/>
        <v>1222000</v>
      </c>
      <c r="Y25" s="77">
        <f t="shared" si="4"/>
        <v>1236000</v>
      </c>
      <c r="Z25" s="77">
        <f t="shared" si="4"/>
        <v>1182000</v>
      </c>
      <c r="AA25" s="77">
        <f t="shared" si="4"/>
        <v>1044000</v>
      </c>
      <c r="AB25" s="77">
        <f t="shared" si="4"/>
        <v>1036000</v>
      </c>
      <c r="AC25" s="77">
        <f t="shared" si="4"/>
        <v>1037000</v>
      </c>
      <c r="AD25" s="77">
        <f t="shared" si="4"/>
        <v>1016000</v>
      </c>
      <c r="AE25" s="77">
        <f t="shared" si="4"/>
        <v>1026000</v>
      </c>
      <c r="AF25" s="77">
        <f t="shared" si="4"/>
        <v>1045000</v>
      </c>
      <c r="AG25" s="77">
        <f t="shared" si="4"/>
        <v>1062000</v>
      </c>
      <c r="AH25" s="77">
        <f t="shared" si="4"/>
        <v>1079000</v>
      </c>
      <c r="AI25" s="77">
        <f t="shared" si="4"/>
        <v>1115000</v>
      </c>
      <c r="AJ25" s="77">
        <f t="shared" si="4"/>
        <v>1134000</v>
      </c>
      <c r="AK25" s="77">
        <f t="shared" si="4"/>
        <v>1127000</v>
      </c>
      <c r="AL25" s="77">
        <f t="shared" si="4"/>
        <v>1123000</v>
      </c>
      <c r="AM25" s="77">
        <f t="shared" si="4"/>
        <v>1117665.490450726</v>
      </c>
      <c r="AN25" s="77">
        <f t="shared" si="4"/>
        <v>1113890.707688034</v>
      </c>
      <c r="AO25" s="77">
        <f t="shared" si="4"/>
        <v>1106325.9072410332</v>
      </c>
      <c r="AP25" s="77">
        <f t="shared" si="4"/>
        <v>1148776.4870436941</v>
      </c>
      <c r="AQ25" s="77">
        <f t="shared" si="4"/>
        <v>1160329.5962554584</v>
      </c>
      <c r="AR25" s="77">
        <f t="shared" si="4"/>
        <v>1179847.6435850225</v>
      </c>
      <c r="AS25" s="77">
        <f t="shared" si="4"/>
        <v>1177999.1176771675</v>
      </c>
      <c r="AT25" s="77">
        <f t="shared" si="4"/>
        <v>1180836.238382731</v>
      </c>
      <c r="AU25" s="77">
        <f t="shared" si="4"/>
        <v>1159563.8001608402</v>
      </c>
      <c r="AV25" s="77">
        <f t="shared" si="4"/>
        <v>1162521.565034133</v>
      </c>
      <c r="AW25" s="77">
        <f t="shared" si="4"/>
        <v>1179245.4613206584</v>
      </c>
      <c r="AX25" s="77">
        <f t="shared" si="4"/>
        <v>1189332.3795003057</v>
      </c>
    </row>
    <row r="26" spans="1:50" s="58" customFormat="1" ht="12.75">
      <c r="A26" s="80" t="s">
        <v>202</v>
      </c>
      <c r="B26" s="84">
        <f>B25/B7</f>
        <v>0.36913285600636436</v>
      </c>
      <c r="C26" s="84">
        <f aca="true" t="shared" si="5" ref="C26:AX26">C25/C7</f>
        <v>0.3612403100775194</v>
      </c>
      <c r="D26" s="84">
        <f t="shared" si="5"/>
        <v>0.3745610612563402</v>
      </c>
      <c r="E26" s="84">
        <f t="shared" si="5"/>
        <v>0.3806818181818182</v>
      </c>
      <c r="F26" s="84">
        <f t="shared" si="5"/>
        <v>0.37616041589305604</v>
      </c>
      <c r="G26" s="84">
        <f t="shared" si="5"/>
        <v>0.3705193855157279</v>
      </c>
      <c r="H26" s="84">
        <f t="shared" si="5"/>
        <v>0.3609789259007478</v>
      </c>
      <c r="I26" s="84">
        <f t="shared" si="5"/>
        <v>0.3721830985915493</v>
      </c>
      <c r="J26" s="84">
        <f t="shared" si="5"/>
        <v>0.3701923076923077</v>
      </c>
      <c r="K26" s="84">
        <f t="shared" si="5"/>
        <v>0.40007099751508696</v>
      </c>
      <c r="L26" s="84">
        <f t="shared" si="5"/>
        <v>0.4063716814159292</v>
      </c>
      <c r="M26" s="84">
        <f t="shared" si="5"/>
        <v>0.40534907954150745</v>
      </c>
      <c r="N26" s="84">
        <f t="shared" si="5"/>
        <v>0.42570712495524526</v>
      </c>
      <c r="O26" s="84">
        <f t="shared" si="5"/>
        <v>0.4307643108410617</v>
      </c>
      <c r="P26" s="84">
        <f t="shared" si="5"/>
        <v>0.42088707140610254</v>
      </c>
      <c r="Q26" s="84">
        <f t="shared" si="5"/>
        <v>0.4274661508704062</v>
      </c>
      <c r="R26" s="84">
        <f t="shared" si="5"/>
        <v>0.4066105394449641</v>
      </c>
      <c r="S26" s="84">
        <f t="shared" si="5"/>
        <v>0.4037747524752475</v>
      </c>
      <c r="T26" s="84">
        <f t="shared" si="5"/>
        <v>0.38925132028580306</v>
      </c>
      <c r="U26" s="84">
        <f t="shared" si="5"/>
        <v>0.38930117501546074</v>
      </c>
      <c r="V26" s="84">
        <f t="shared" si="5"/>
        <v>0.38560097620500305</v>
      </c>
      <c r="W26" s="84">
        <f t="shared" si="5"/>
        <v>0.38291237917056437</v>
      </c>
      <c r="X26" s="84">
        <f t="shared" si="5"/>
        <v>0.3738146222086265</v>
      </c>
      <c r="Y26" s="84">
        <f t="shared" si="5"/>
        <v>0.37341389728096674</v>
      </c>
      <c r="Z26" s="84">
        <f t="shared" si="5"/>
        <v>0.36673906298479675</v>
      </c>
      <c r="AA26" s="84">
        <f t="shared" si="5"/>
        <v>0.35962797106441613</v>
      </c>
      <c r="AB26" s="84">
        <f t="shared" si="5"/>
        <v>0.3627450980392157</v>
      </c>
      <c r="AC26" s="84">
        <f t="shared" si="5"/>
        <v>0.3582037996545769</v>
      </c>
      <c r="AD26" s="84">
        <f t="shared" si="5"/>
        <v>0.35536901014340677</v>
      </c>
      <c r="AE26" s="84">
        <f t="shared" si="5"/>
        <v>0.3665594855305466</v>
      </c>
      <c r="AF26" s="84">
        <f t="shared" si="5"/>
        <v>0.38041499817983254</v>
      </c>
      <c r="AG26" s="84">
        <f t="shared" si="5"/>
        <v>0.39015429831006615</v>
      </c>
      <c r="AH26" s="84">
        <f t="shared" si="5"/>
        <v>0.3810028248587571</v>
      </c>
      <c r="AI26" s="84">
        <f t="shared" si="5"/>
        <v>0.3871527777777778</v>
      </c>
      <c r="AJ26" s="84">
        <f t="shared" si="5"/>
        <v>0.4058697208303508</v>
      </c>
      <c r="AK26" s="84">
        <f t="shared" si="5"/>
        <v>0.4068592057761733</v>
      </c>
      <c r="AL26" s="84">
        <f t="shared" si="5"/>
        <v>0.4006421691045309</v>
      </c>
      <c r="AM26" s="84">
        <f t="shared" si="5"/>
        <v>0.3954938041226914</v>
      </c>
      <c r="AN26" s="84">
        <f t="shared" si="5"/>
        <v>0.39257443705083317</v>
      </c>
      <c r="AO26" s="84">
        <f t="shared" si="5"/>
        <v>0.3885799259741608</v>
      </c>
      <c r="AP26" s="84">
        <f t="shared" si="5"/>
        <v>0.3995605325184147</v>
      </c>
      <c r="AQ26" s="84">
        <f t="shared" si="5"/>
        <v>0.39985168208947874</v>
      </c>
      <c r="AR26" s="84">
        <f t="shared" si="5"/>
        <v>0.40211568916704354</v>
      </c>
      <c r="AS26" s="84">
        <f t="shared" si="5"/>
        <v>0.3978785819830336</v>
      </c>
      <c r="AT26" s="84">
        <f t="shared" si="5"/>
        <v>0.3933760538286132</v>
      </c>
      <c r="AU26" s="84">
        <f t="shared" si="5"/>
        <v>0.3835170498299455</v>
      </c>
      <c r="AV26" s="84">
        <f t="shared" si="5"/>
        <v>0.3812421096757069</v>
      </c>
      <c r="AW26" s="84">
        <f t="shared" si="5"/>
        <v>0.38428176795407126</v>
      </c>
      <c r="AX26" s="84">
        <f t="shared" si="5"/>
        <v>0.3857335904713475</v>
      </c>
    </row>
    <row r="27" spans="1:50" s="58" customFormat="1" ht="12.75">
      <c r="A27" s="12" t="s">
        <v>163</v>
      </c>
      <c r="B27" s="85">
        <f>B17/B22</f>
        <v>3.1519337016574585</v>
      </c>
      <c r="C27" s="85">
        <f aca="true" t="shared" si="6" ref="C27:AX27">C17/C22</f>
        <v>3.167130919220056</v>
      </c>
      <c r="D27" s="85">
        <f t="shared" si="6"/>
        <v>3.013333333333333</v>
      </c>
      <c r="E27" s="85">
        <f t="shared" si="6"/>
        <v>3.158291457286432</v>
      </c>
      <c r="F27" s="85">
        <f t="shared" si="6"/>
        <v>3.0506024096385542</v>
      </c>
      <c r="G27" s="85">
        <f t="shared" si="6"/>
        <v>3.1052631578947367</v>
      </c>
      <c r="H27" s="85">
        <f t="shared" si="6"/>
        <v>3.508235294117647</v>
      </c>
      <c r="I27" s="85">
        <f t="shared" si="6"/>
        <v>3.1247113163972284</v>
      </c>
      <c r="J27" s="85">
        <f t="shared" si="6"/>
        <v>3.204081632653061</v>
      </c>
      <c r="K27" s="85">
        <f t="shared" si="6"/>
        <v>2.807531380753138</v>
      </c>
      <c r="L27" s="85">
        <f t="shared" si="6"/>
        <v>2.8198380566801617</v>
      </c>
      <c r="M27" s="85">
        <f t="shared" si="6"/>
        <v>2.980544747081712</v>
      </c>
      <c r="N27" s="85">
        <f t="shared" si="6"/>
        <v>2.5547445255474455</v>
      </c>
      <c r="O27" s="85">
        <f t="shared" si="6"/>
        <v>3.119349005424955</v>
      </c>
      <c r="P27" s="85">
        <f t="shared" si="6"/>
        <v>3.2420856610800746</v>
      </c>
      <c r="Q27" s="85">
        <f t="shared" si="6"/>
        <v>2.8295454545454546</v>
      </c>
      <c r="R27" s="85">
        <f t="shared" si="6"/>
        <v>3.1221995926680246</v>
      </c>
      <c r="S27" s="85">
        <f t="shared" si="6"/>
        <v>3.176348547717842</v>
      </c>
      <c r="T27" s="85">
        <f t="shared" si="6"/>
        <v>3.217948717948718</v>
      </c>
      <c r="U27" s="85">
        <f t="shared" si="6"/>
        <v>3.3796909492273732</v>
      </c>
      <c r="V27" s="85">
        <f t="shared" si="6"/>
        <v>3.4481236203090506</v>
      </c>
      <c r="W27" s="85">
        <f t="shared" si="6"/>
        <v>3.546511627906977</v>
      </c>
      <c r="X27" s="85">
        <f t="shared" si="6"/>
        <v>3.7819905213270144</v>
      </c>
      <c r="Y27" s="85">
        <f t="shared" si="6"/>
        <v>3.894484412470024</v>
      </c>
      <c r="Z27" s="85">
        <f t="shared" si="6"/>
        <v>3.9034653465346536</v>
      </c>
      <c r="AA27" s="85">
        <f t="shared" si="6"/>
        <v>3.2825</v>
      </c>
      <c r="AB27" s="85">
        <f t="shared" si="6"/>
        <v>3.2141057934508814</v>
      </c>
      <c r="AC27" s="85">
        <f t="shared" si="6"/>
        <v>3.5586034912718203</v>
      </c>
      <c r="AD27" s="85">
        <f t="shared" si="6"/>
        <v>3.595061728395062</v>
      </c>
      <c r="AE27" s="85">
        <f t="shared" si="6"/>
        <v>3.4387254901960786</v>
      </c>
      <c r="AF27" s="85">
        <f t="shared" si="6"/>
        <v>3.3349514563106797</v>
      </c>
      <c r="AG27" s="85">
        <f t="shared" si="6"/>
        <v>3.3445783132530122</v>
      </c>
      <c r="AH27" s="85">
        <f t="shared" si="6"/>
        <v>3.60381861575179</v>
      </c>
      <c r="AI27" s="85">
        <f t="shared" si="6"/>
        <v>3.705463182897862</v>
      </c>
      <c r="AJ27" s="85">
        <f t="shared" si="6"/>
        <v>3.566666666666667</v>
      </c>
      <c r="AK27" s="85">
        <f t="shared" si="6"/>
        <v>3.491686460807601</v>
      </c>
      <c r="AL27" s="85">
        <f t="shared" si="6"/>
        <v>3.545238095238095</v>
      </c>
      <c r="AM27" s="85">
        <f t="shared" si="6"/>
        <v>3.4046824944389984</v>
      </c>
      <c r="AN27" s="85">
        <f t="shared" si="6"/>
        <v>3.544042775928441</v>
      </c>
      <c r="AO27" s="85">
        <f t="shared" si="6"/>
        <v>3.998541884338283</v>
      </c>
      <c r="AP27" s="85">
        <f t="shared" si="6"/>
        <v>3.9177488583302265</v>
      </c>
      <c r="AQ27" s="85">
        <f t="shared" si="6"/>
        <v>3.9804309572627137</v>
      </c>
      <c r="AR27" s="85">
        <f t="shared" si="6"/>
        <v>3.841965600263349</v>
      </c>
      <c r="AS27" s="85">
        <f t="shared" si="6"/>
        <v>3.7662013327924293</v>
      </c>
      <c r="AT27" s="85">
        <f t="shared" si="6"/>
        <v>3.5512346590990713</v>
      </c>
      <c r="AU27" s="85">
        <f t="shared" si="6"/>
        <v>3.557526231578518</v>
      </c>
      <c r="AV27" s="85">
        <f t="shared" si="6"/>
        <v>3.4426074153220023</v>
      </c>
      <c r="AW27" s="85">
        <f t="shared" si="6"/>
        <v>3.4723765972246103</v>
      </c>
      <c r="AX27" s="85">
        <f t="shared" si="6"/>
        <v>3.5000000000000004</v>
      </c>
    </row>
    <row r="28" s="58" customFormat="1" ht="12.75">
      <c r="A28" s="11"/>
    </row>
    <row r="29" spans="1:50" s="58" customFormat="1" ht="12.75">
      <c r="A29" s="10" t="s">
        <v>84</v>
      </c>
      <c r="B29" s="9">
        <f>B17-B25</f>
        <v>213000</v>
      </c>
      <c r="C29" s="9">
        <f aca="true" t="shared" si="7" ref="C29:AX29">C17-C25</f>
        <v>205000</v>
      </c>
      <c r="D29" s="9">
        <f t="shared" si="7"/>
        <v>170000</v>
      </c>
      <c r="E29" s="9">
        <f t="shared" si="7"/>
        <v>252000</v>
      </c>
      <c r="F29" s="9">
        <f t="shared" si="7"/>
        <v>253000</v>
      </c>
      <c r="G29" s="9">
        <f t="shared" si="7"/>
        <v>285000</v>
      </c>
      <c r="H29" s="9">
        <f t="shared" si="7"/>
        <v>429000</v>
      </c>
      <c r="I29" s="9">
        <f t="shared" si="7"/>
        <v>296000</v>
      </c>
      <c r="J29" s="9">
        <f t="shared" si="7"/>
        <v>335000</v>
      </c>
      <c r="K29" s="9">
        <f t="shared" si="7"/>
        <v>215000</v>
      </c>
      <c r="L29" s="9">
        <f t="shared" si="7"/>
        <v>245000</v>
      </c>
      <c r="M29" s="9">
        <f t="shared" si="7"/>
        <v>365000</v>
      </c>
      <c r="N29" s="9">
        <f t="shared" si="7"/>
        <v>211000</v>
      </c>
      <c r="O29" s="9">
        <f t="shared" si="7"/>
        <v>378000</v>
      </c>
      <c r="P29" s="9">
        <f t="shared" si="7"/>
        <v>403000</v>
      </c>
      <c r="Q29" s="9">
        <f t="shared" si="7"/>
        <v>168000</v>
      </c>
      <c r="R29" s="9">
        <f t="shared" si="7"/>
        <v>229000</v>
      </c>
      <c r="S29" s="9">
        <f t="shared" si="7"/>
        <v>226000</v>
      </c>
      <c r="T29" s="9">
        <f t="shared" si="7"/>
        <v>253000</v>
      </c>
      <c r="U29" s="9">
        <f t="shared" si="7"/>
        <v>272000</v>
      </c>
      <c r="V29" s="9">
        <f t="shared" si="7"/>
        <v>298000</v>
      </c>
      <c r="W29" s="9">
        <f t="shared" si="7"/>
        <v>297000</v>
      </c>
      <c r="X29" s="9">
        <f t="shared" si="7"/>
        <v>374000</v>
      </c>
      <c r="Y29" s="9">
        <f t="shared" si="7"/>
        <v>388000</v>
      </c>
      <c r="Z29" s="9">
        <f t="shared" si="7"/>
        <v>395000</v>
      </c>
      <c r="AA29" s="9">
        <f t="shared" si="7"/>
        <v>269000</v>
      </c>
      <c r="AB29" s="9">
        <f t="shared" si="7"/>
        <v>240000</v>
      </c>
      <c r="AC29" s="9">
        <f t="shared" si="7"/>
        <v>390000</v>
      </c>
      <c r="AD29" s="9">
        <f t="shared" si="7"/>
        <v>440000</v>
      </c>
      <c r="AE29" s="9">
        <f t="shared" si="7"/>
        <v>377000</v>
      </c>
      <c r="AF29" s="9">
        <f t="shared" si="7"/>
        <v>329000</v>
      </c>
      <c r="AG29" s="9">
        <f t="shared" si="7"/>
        <v>326000</v>
      </c>
      <c r="AH29" s="9">
        <f t="shared" si="7"/>
        <v>431000</v>
      </c>
      <c r="AI29" s="9">
        <f t="shared" si="7"/>
        <v>445000</v>
      </c>
      <c r="AJ29" s="9">
        <f t="shared" si="7"/>
        <v>364000</v>
      </c>
      <c r="AK29" s="9">
        <f t="shared" si="7"/>
        <v>343000</v>
      </c>
      <c r="AL29" s="9">
        <f t="shared" si="7"/>
        <v>366000</v>
      </c>
      <c r="AM29" s="9">
        <f t="shared" si="7"/>
        <v>346829.2154316271</v>
      </c>
      <c r="AN29" s="9">
        <f t="shared" si="7"/>
        <v>374770.93937078957</v>
      </c>
      <c r="AO29" s="9">
        <f t="shared" si="7"/>
        <v>445635.68099426106</v>
      </c>
      <c r="AP29" s="9">
        <f t="shared" si="7"/>
        <v>412700.3953092471</v>
      </c>
      <c r="AQ29" s="9">
        <f t="shared" si="7"/>
        <v>467697.63903865917</v>
      </c>
      <c r="AR29" s="9">
        <f t="shared" si="7"/>
        <v>466072.17994438927</v>
      </c>
      <c r="AS29" s="9">
        <f t="shared" si="7"/>
        <v>477310.23526400886</v>
      </c>
      <c r="AT29" s="9">
        <f t="shared" si="7"/>
        <v>448022.3498525631</v>
      </c>
      <c r="AU29" s="9">
        <f t="shared" si="7"/>
        <v>479244.14101563045</v>
      </c>
      <c r="AV29" s="9">
        <f t="shared" si="7"/>
        <v>457032.6114364553</v>
      </c>
      <c r="AW29" s="9">
        <f t="shared" si="7"/>
        <v>454908.59750287095</v>
      </c>
      <c r="AX29" s="9">
        <f t="shared" si="7"/>
        <v>437561.79697028245</v>
      </c>
    </row>
    <row r="30" spans="1:50" s="58" customFormat="1" ht="12.75">
      <c r="A30" s="80" t="s">
        <v>202</v>
      </c>
      <c r="B30" s="84">
        <f>B29/B7</f>
        <v>0.08472553699284009</v>
      </c>
      <c r="C30" s="84">
        <f aca="true" t="shared" si="8" ref="C30:AX30">C29/C7</f>
        <v>0.07945736434108527</v>
      </c>
      <c r="D30" s="84">
        <f t="shared" si="8"/>
        <v>0.06632852126414358</v>
      </c>
      <c r="E30" s="84">
        <f t="shared" si="8"/>
        <v>0.09545454545454546</v>
      </c>
      <c r="F30" s="84">
        <f t="shared" si="8"/>
        <v>0.09394727070181953</v>
      </c>
      <c r="G30" s="84">
        <f t="shared" si="8"/>
        <v>0.10424286759326994</v>
      </c>
      <c r="H30" s="84">
        <f t="shared" si="8"/>
        <v>0.14581917063222297</v>
      </c>
      <c r="I30" s="84">
        <f t="shared" si="8"/>
        <v>0.10422535211267606</v>
      </c>
      <c r="J30" s="84">
        <f t="shared" si="8"/>
        <v>0.11504120879120878</v>
      </c>
      <c r="K30" s="84">
        <f t="shared" si="8"/>
        <v>0.07632232871849486</v>
      </c>
      <c r="L30" s="84">
        <f t="shared" si="8"/>
        <v>0.08672566371681416</v>
      </c>
      <c r="M30" s="84">
        <f t="shared" si="8"/>
        <v>0.1267801319902744</v>
      </c>
      <c r="N30" s="84">
        <f t="shared" si="8"/>
        <v>0.07554600787683495</v>
      </c>
      <c r="O30" s="84">
        <f t="shared" si="8"/>
        <v>0.12088263511352734</v>
      </c>
      <c r="P30" s="84">
        <f t="shared" si="8"/>
        <v>0.12676942434727903</v>
      </c>
      <c r="Q30" s="84">
        <f t="shared" si="8"/>
        <v>0.05415860735009671</v>
      </c>
      <c r="R30" s="84">
        <f t="shared" si="8"/>
        <v>0.07140629872154662</v>
      </c>
      <c r="S30" s="84">
        <f t="shared" si="8"/>
        <v>0.06992574257425743</v>
      </c>
      <c r="T30" s="84">
        <f t="shared" si="8"/>
        <v>0.07859583721652687</v>
      </c>
      <c r="U30" s="84">
        <f t="shared" si="8"/>
        <v>0.08410636982065553</v>
      </c>
      <c r="V30" s="84">
        <f t="shared" si="8"/>
        <v>0.09090909090909091</v>
      </c>
      <c r="W30" s="84">
        <f t="shared" si="8"/>
        <v>0.09260991580916744</v>
      </c>
      <c r="X30" s="84">
        <f t="shared" si="8"/>
        <v>0.11440807586417864</v>
      </c>
      <c r="Y30" s="84">
        <f t="shared" si="8"/>
        <v>0.11722054380664652</v>
      </c>
      <c r="Z30" s="84">
        <f t="shared" si="8"/>
        <v>0.1225566242631089</v>
      </c>
      <c r="AA30" s="84">
        <f t="shared" si="8"/>
        <v>0.09266276265931794</v>
      </c>
      <c r="AB30" s="84">
        <f t="shared" si="8"/>
        <v>0.08403361344537816</v>
      </c>
      <c r="AC30" s="84">
        <f t="shared" si="8"/>
        <v>0.13471502590673576</v>
      </c>
      <c r="AD30" s="84">
        <f t="shared" si="8"/>
        <v>0.15389996502273523</v>
      </c>
      <c r="AE30" s="84">
        <f t="shared" si="8"/>
        <v>0.13469096105752054</v>
      </c>
      <c r="AF30" s="84">
        <f t="shared" si="8"/>
        <v>0.11976701856570804</v>
      </c>
      <c r="AG30" s="84">
        <f t="shared" si="8"/>
        <v>0.11976487876561352</v>
      </c>
      <c r="AH30" s="84">
        <f t="shared" si="8"/>
        <v>0.15218926553672316</v>
      </c>
      <c r="AI30" s="84">
        <f t="shared" si="8"/>
        <v>0.1545138888888889</v>
      </c>
      <c r="AJ30" s="84">
        <f t="shared" si="8"/>
        <v>0.13027916964924838</v>
      </c>
      <c r="AK30" s="84">
        <f t="shared" si="8"/>
        <v>0.12382671480144404</v>
      </c>
      <c r="AL30" s="84">
        <f t="shared" si="8"/>
        <v>0.1305743845879415</v>
      </c>
      <c r="AM30" s="84">
        <f t="shared" si="8"/>
        <v>0.12272796016688858</v>
      </c>
      <c r="AN30" s="84">
        <f t="shared" si="8"/>
        <v>0.1320825189859694</v>
      </c>
      <c r="AO30" s="84">
        <f t="shared" si="8"/>
        <v>0.15652266551728464</v>
      </c>
      <c r="AP30" s="84">
        <f t="shared" si="8"/>
        <v>0.14354297078684117</v>
      </c>
      <c r="AQ30" s="84">
        <f t="shared" si="8"/>
        <v>0.16116945416405085</v>
      </c>
      <c r="AR30" s="84">
        <f t="shared" si="8"/>
        <v>0.15884672640482236</v>
      </c>
      <c r="AS30" s="84">
        <f t="shared" si="8"/>
        <v>0.1612153326118853</v>
      </c>
      <c r="AT30" s="84">
        <f t="shared" si="8"/>
        <v>0.1492512325446609</v>
      </c>
      <c r="AU30" s="84">
        <f t="shared" si="8"/>
        <v>0.15850641343331584</v>
      </c>
      <c r="AV30" s="84">
        <f t="shared" si="8"/>
        <v>0.14988115680203826</v>
      </c>
      <c r="AW30" s="84">
        <f t="shared" si="8"/>
        <v>0.1482414695157138</v>
      </c>
      <c r="AX30" s="84">
        <f t="shared" si="8"/>
        <v>0.1419134683521819</v>
      </c>
    </row>
    <row r="31" s="58" customFormat="1" ht="14.25" customHeight="1">
      <c r="A31" s="7" t="s">
        <v>85</v>
      </c>
    </row>
    <row r="32" spans="1:50" s="58" customFormat="1" ht="12.75">
      <c r="A32" s="8" t="s">
        <v>87</v>
      </c>
      <c r="B32" s="58">
        <f>SUM('PL by Month'!B32:M32)</f>
        <v>-138000</v>
      </c>
      <c r="C32" s="58">
        <f>SUM('PL by Month'!C32:N32)</f>
        <v>-134600</v>
      </c>
      <c r="D32" s="58">
        <f>SUM('PL by Month'!D32:O32)</f>
        <v>-131200</v>
      </c>
      <c r="E32" s="58">
        <f>SUM('PL by Month'!E32:P32)</f>
        <v>-127800</v>
      </c>
      <c r="F32" s="58">
        <f>SUM('PL by Month'!F32:Q32)</f>
        <v>-124400</v>
      </c>
      <c r="G32" s="58">
        <f>SUM('PL by Month'!G32:R32)</f>
        <v>-121000</v>
      </c>
      <c r="H32" s="58">
        <f>SUM('PL by Month'!H32:S32)</f>
        <v>-117600</v>
      </c>
      <c r="I32" s="58">
        <f>SUM('PL by Month'!I32:T32)</f>
        <v>-114200</v>
      </c>
      <c r="J32" s="58">
        <f>SUM('PL by Month'!J32:U32)</f>
        <v>-110800</v>
      </c>
      <c r="K32" s="58">
        <f>SUM('PL by Month'!K32:V32)</f>
        <v>-107400</v>
      </c>
      <c r="L32" s="58">
        <f>SUM('PL by Month'!L32:W32)</f>
        <v>-104000</v>
      </c>
      <c r="M32" s="58">
        <f>SUM('PL by Month'!M32:X32)</f>
        <v>-100600</v>
      </c>
      <c r="N32" s="58">
        <f>SUM('PL by Month'!N32:Y32)</f>
        <v>-97200</v>
      </c>
      <c r="O32" s="58">
        <f>SUM('PL by Month'!O32:Z32)</f>
        <v>-101200</v>
      </c>
      <c r="P32" s="58">
        <f>SUM('PL by Month'!P32:AA32)</f>
        <v>-105200</v>
      </c>
      <c r="Q32" s="58">
        <f>SUM('PL by Month'!Q32:AB32)</f>
        <v>-109200</v>
      </c>
      <c r="R32" s="58">
        <f>SUM('PL by Month'!R32:AC32)</f>
        <v>-113200</v>
      </c>
      <c r="S32" s="58">
        <f>SUM('PL by Month'!S32:AD32)</f>
        <v>-117200</v>
      </c>
      <c r="T32" s="58">
        <f>SUM('PL by Month'!T32:AE32)</f>
        <v>-121200</v>
      </c>
      <c r="U32" s="58">
        <f>SUM('PL by Month'!U32:AF32)</f>
        <v>-125200</v>
      </c>
      <c r="V32" s="58">
        <f>SUM('PL by Month'!V32:AG32)</f>
        <v>-129200</v>
      </c>
      <c r="W32" s="58">
        <f>SUM('PL by Month'!W32:AH32)</f>
        <v>-133200</v>
      </c>
      <c r="X32" s="58">
        <f>SUM('PL by Month'!X32:AI32)</f>
        <v>-137200</v>
      </c>
      <c r="Y32" s="58">
        <f>SUM('PL by Month'!Y32:AJ32)</f>
        <v>-141200</v>
      </c>
      <c r="Z32" s="58">
        <f>SUM('PL by Month'!Z32:AK32)</f>
        <v>-145200</v>
      </c>
      <c r="AA32" s="58">
        <f>SUM('PL by Month'!AA32:AL32)</f>
        <v>-135200</v>
      </c>
      <c r="AB32" s="58">
        <f>SUM('PL by Month'!AB32:AM32)</f>
        <v>-125200</v>
      </c>
      <c r="AC32" s="58">
        <f>SUM('PL by Month'!AC32:AN32)</f>
        <v>-115200</v>
      </c>
      <c r="AD32" s="58">
        <f>SUM('PL by Month'!AD32:AO32)</f>
        <v>-105200</v>
      </c>
      <c r="AE32" s="58">
        <f>SUM('PL by Month'!AE32:AP32)</f>
        <v>-95200</v>
      </c>
      <c r="AF32" s="58">
        <f>SUM('PL by Month'!AF32:AQ32)</f>
        <v>-85200</v>
      </c>
      <c r="AG32" s="58">
        <f>SUM('PL by Month'!AG32:AR32)</f>
        <v>-75200</v>
      </c>
      <c r="AH32" s="58">
        <f>SUM('PL by Month'!AH32:AS32)</f>
        <v>-65200</v>
      </c>
      <c r="AI32" s="58">
        <f>SUM('PL by Month'!AI32:AT32)</f>
        <v>-55200</v>
      </c>
      <c r="AJ32" s="58">
        <f>SUM('PL by Month'!AJ32:AU32)</f>
        <v>-45200</v>
      </c>
      <c r="AK32" s="58">
        <f>SUM('PL by Month'!AK32:AV32)</f>
        <v>-35200</v>
      </c>
      <c r="AL32" s="58">
        <f>SUM('PL by Month'!AL32:AW32)</f>
        <v>-25200</v>
      </c>
      <c r="AM32" s="58">
        <f>SUM('PL by Month'!AM32:AX32)</f>
        <v>-25200</v>
      </c>
      <c r="AN32" s="58">
        <f>SUM('PL by Month'!AN32:AY32)</f>
        <v>-25200</v>
      </c>
      <c r="AO32" s="58">
        <f>SUM('PL by Month'!AO32:AZ32)</f>
        <v>-25200</v>
      </c>
      <c r="AP32" s="58">
        <f>SUM('PL by Month'!AP32:BA32)</f>
        <v>-25200</v>
      </c>
      <c r="AQ32" s="58">
        <f>SUM('PL by Month'!AQ32:BB32)</f>
        <v>-25200</v>
      </c>
      <c r="AR32" s="58">
        <f>SUM('PL by Month'!AR32:BC32)</f>
        <v>-25200</v>
      </c>
      <c r="AS32" s="58">
        <f>SUM('PL by Month'!AS32:BD32)</f>
        <v>-25200</v>
      </c>
      <c r="AT32" s="58">
        <f>SUM('PL by Month'!AT32:BE32)</f>
        <v>-25200</v>
      </c>
      <c r="AU32" s="58">
        <f>SUM('PL by Month'!AU32:BF32)</f>
        <v>-25200</v>
      </c>
      <c r="AV32" s="58">
        <f>SUM('PL by Month'!AV32:BG32)</f>
        <v>-25200</v>
      </c>
      <c r="AW32" s="58">
        <f>SUM('PL by Month'!AW32:BH32)</f>
        <v>-25200</v>
      </c>
      <c r="AX32" s="58">
        <f>SUM('PL by Month'!AX32:BI32)</f>
        <v>-25200</v>
      </c>
    </row>
    <row r="33" spans="1:50" s="58" customFormat="1" ht="12.75">
      <c r="A33" s="8" t="s">
        <v>199</v>
      </c>
      <c r="B33" s="58">
        <f>SUM('PL by Month'!B33:M33)</f>
        <v>4172</v>
      </c>
      <c r="C33" s="58">
        <f>SUM('PL by Month'!C33:N33)</f>
        <v>172</v>
      </c>
      <c r="D33" s="58">
        <f>SUM('PL by Month'!D33:O33)</f>
        <v>172</v>
      </c>
      <c r="E33" s="58">
        <f>SUM('PL by Month'!E33:P33)</f>
        <v>172</v>
      </c>
      <c r="F33" s="58">
        <f>SUM('PL by Month'!F33:Q33)</f>
        <v>172</v>
      </c>
      <c r="G33" s="58">
        <f>SUM('PL by Month'!G33:R33)</f>
        <v>172</v>
      </c>
      <c r="H33" s="58">
        <f>SUM('PL by Month'!H33:S33)</f>
        <v>172</v>
      </c>
      <c r="I33" s="58">
        <f>SUM('PL by Month'!I33:T33)</f>
        <v>172</v>
      </c>
      <c r="J33" s="58">
        <f>SUM('PL by Month'!J33:U33)</f>
        <v>172</v>
      </c>
      <c r="K33" s="58">
        <f>SUM('PL by Month'!K33:V33)</f>
        <v>2</v>
      </c>
      <c r="L33" s="58">
        <f>SUM('PL by Month'!L33:W33)</f>
        <v>-998</v>
      </c>
      <c r="M33" s="58">
        <f>SUM('PL by Month'!M33:X33)</f>
        <v>-1000</v>
      </c>
      <c r="N33" s="58">
        <f>SUM('PL by Month'!N33:Y33)</f>
        <v>0</v>
      </c>
      <c r="O33" s="58">
        <f>SUM('PL by Month'!O33:Z33)</f>
        <v>0</v>
      </c>
      <c r="P33" s="58">
        <f>SUM('PL by Month'!P33:AA33)</f>
        <v>0</v>
      </c>
      <c r="Q33" s="58">
        <f>SUM('PL by Month'!Q33:AB33)</f>
        <v>0</v>
      </c>
      <c r="R33" s="58">
        <f>SUM('PL by Month'!R33:AC33)</f>
        <v>0</v>
      </c>
      <c r="S33" s="58">
        <f>SUM('PL by Month'!S33:AD33)</f>
        <v>0</v>
      </c>
      <c r="T33" s="58">
        <f>SUM('PL by Month'!T33:AE33)</f>
        <v>0</v>
      </c>
      <c r="U33" s="58">
        <f>SUM('PL by Month'!U33:AF33)</f>
        <v>100</v>
      </c>
      <c r="V33" s="58">
        <f>SUM('PL by Month'!V33:AG33)</f>
        <v>175</v>
      </c>
      <c r="W33" s="58">
        <f>SUM('PL by Month'!W33:AH33)</f>
        <v>175</v>
      </c>
      <c r="X33" s="58">
        <f>SUM('PL by Month'!X33:AI33)</f>
        <v>175</v>
      </c>
      <c r="Y33" s="58">
        <f>SUM('PL by Month'!Y33:AJ33)</f>
        <v>175</v>
      </c>
      <c r="Z33" s="58">
        <f>SUM('PL by Month'!Z33:AK33)</f>
        <v>175</v>
      </c>
      <c r="AA33" s="58">
        <f>SUM('PL by Month'!AA33:AL33)</f>
        <v>175</v>
      </c>
      <c r="AB33" s="58">
        <f>SUM('PL by Month'!AB33:AM33)</f>
        <v>175</v>
      </c>
      <c r="AC33" s="58">
        <f>SUM('PL by Month'!AC33:AN33)</f>
        <v>175</v>
      </c>
      <c r="AD33" s="58">
        <f>SUM('PL by Month'!AD33:AO33)</f>
        <v>175</v>
      </c>
      <c r="AE33" s="58">
        <f>SUM('PL by Month'!AE33:AP33)</f>
        <v>175</v>
      </c>
      <c r="AF33" s="58">
        <f>SUM('PL by Month'!AF33:AQ33)</f>
        <v>175</v>
      </c>
      <c r="AG33" s="58">
        <f>SUM('PL by Month'!AG33:AR33)</f>
        <v>75</v>
      </c>
      <c r="AH33" s="58">
        <f>SUM('PL by Month'!AH33:AS33)</f>
        <v>0</v>
      </c>
      <c r="AI33" s="58">
        <f>SUM('PL by Month'!AI33:AT33)</f>
        <v>0</v>
      </c>
      <c r="AJ33" s="58">
        <f>SUM('PL by Month'!AJ33:AU33)</f>
        <v>0</v>
      </c>
      <c r="AK33" s="58">
        <f>SUM('PL by Month'!AK33:AV33)</f>
        <v>0</v>
      </c>
      <c r="AL33" s="58">
        <f>SUM('PL by Month'!AL33:AW33)</f>
        <v>0</v>
      </c>
      <c r="AM33" s="58">
        <f>SUM('PL by Month'!AM33:AX33)</f>
        <v>0</v>
      </c>
      <c r="AN33" s="58">
        <f>SUM('PL by Month'!AN33:AY33)</f>
        <v>0</v>
      </c>
      <c r="AO33" s="58">
        <f>SUM('PL by Month'!AO33:AZ33)</f>
        <v>0</v>
      </c>
      <c r="AP33" s="58">
        <f>SUM('PL by Month'!AP33:BA33)</f>
        <v>0</v>
      </c>
      <c r="AQ33" s="58">
        <f>SUM('PL by Month'!AQ33:BB33)</f>
        <v>0</v>
      </c>
      <c r="AR33" s="58">
        <f>SUM('PL by Month'!AR33:BC33)</f>
        <v>0</v>
      </c>
      <c r="AS33" s="58">
        <f>SUM('PL by Month'!AS33:BD33)</f>
        <v>0</v>
      </c>
      <c r="AT33" s="58">
        <f>SUM('PL by Month'!AT33:BE33)</f>
        <v>0</v>
      </c>
      <c r="AU33" s="58">
        <f>SUM('PL by Month'!AU33:BF33)</f>
        <v>0</v>
      </c>
      <c r="AV33" s="58">
        <f>SUM('PL by Month'!AV33:BG33)</f>
        <v>0</v>
      </c>
      <c r="AW33" s="58">
        <f>SUM('PL by Month'!AW33:BH33)</f>
        <v>0</v>
      </c>
      <c r="AX33" s="58">
        <f>SUM('PL by Month'!AX33:BI33)</f>
        <v>0</v>
      </c>
    </row>
    <row r="34" spans="1:50" s="61" customFormat="1" ht="12.75">
      <c r="A34" s="8" t="s">
        <v>86</v>
      </c>
      <c r="B34" s="9">
        <f>SUM('PL by Month'!B34:M34)</f>
        <v>-12748</v>
      </c>
      <c r="C34" s="9">
        <f>SUM('PL by Month'!C34:N34)</f>
        <v>-13022</v>
      </c>
      <c r="D34" s="9">
        <f>SUM('PL by Month'!D34:O34)</f>
        <v>-13290</v>
      </c>
      <c r="E34" s="9">
        <f>SUM('PL by Month'!E34:P34)</f>
        <v>-13547</v>
      </c>
      <c r="F34" s="9">
        <f>SUM('PL by Month'!F34:Q34)</f>
        <v>-14229</v>
      </c>
      <c r="G34" s="9">
        <f>SUM('PL by Month'!G34:R34)</f>
        <v>-14929</v>
      </c>
      <c r="H34" s="9">
        <f>SUM('PL by Month'!H34:S34)</f>
        <v>-15606</v>
      </c>
      <c r="I34" s="9">
        <f>SUM('PL by Month'!I34:T34)</f>
        <v>-16096</v>
      </c>
      <c r="J34" s="9">
        <f>SUM('PL by Month'!J34:U34)</f>
        <v>-16574</v>
      </c>
      <c r="K34" s="9">
        <f>SUM('PL by Month'!K34:V34)</f>
        <v>-16802</v>
      </c>
      <c r="L34" s="9">
        <f>SUM('PL by Month'!L34:W34)</f>
        <v>-17169</v>
      </c>
      <c r="M34" s="9">
        <f>SUM('PL by Month'!M34:X34)</f>
        <v>-17362</v>
      </c>
      <c r="N34" s="9">
        <f>SUM('PL by Month'!N34:Y34)</f>
        <v>-17636</v>
      </c>
      <c r="O34" s="9">
        <f>SUM('PL by Month'!O34:Z34)</f>
        <v>-17770</v>
      </c>
      <c r="P34" s="9">
        <f>SUM('PL by Month'!P34:AA34)</f>
        <v>-17887</v>
      </c>
      <c r="Q34" s="9">
        <f>SUM('PL by Month'!Q34:AB34)</f>
        <v>-17986</v>
      </c>
      <c r="R34" s="9">
        <f>SUM('PL by Month'!R34:AC34)</f>
        <v>-17636</v>
      </c>
      <c r="S34" s="9">
        <f>SUM('PL by Month'!S34:AD34)</f>
        <v>-17700</v>
      </c>
      <c r="T34" s="9">
        <f>SUM('PL by Month'!T34:AE34)</f>
        <v>-17752</v>
      </c>
      <c r="U34" s="9">
        <f>SUM('PL by Month'!U34:AF34)</f>
        <v>-17793</v>
      </c>
      <c r="V34" s="9">
        <f>SUM('PL by Month'!V34:AG34)</f>
        <v>-17822</v>
      </c>
      <c r="W34" s="9">
        <f>SUM('PL by Month'!W34:AH34)</f>
        <v>-17839</v>
      </c>
      <c r="X34" s="9">
        <f>SUM('PL by Month'!X34:AI34)</f>
        <v>-17688</v>
      </c>
      <c r="Y34" s="9">
        <f>SUM('PL by Month'!Y34:AJ34)</f>
        <v>-17524</v>
      </c>
      <c r="Z34" s="9">
        <f>SUM('PL by Month'!Z34:AK34)</f>
        <v>-16999</v>
      </c>
      <c r="AA34" s="9">
        <f>SUM('PL by Month'!AA34:AL34)</f>
        <v>-16813</v>
      </c>
      <c r="AB34" s="9">
        <f>SUM('PL by Month'!AB34:AM34)</f>
        <v>-16614</v>
      </c>
      <c r="AC34" s="9">
        <f>SUM('PL by Month'!AC34:AN34)</f>
        <v>-16404</v>
      </c>
      <c r="AD34" s="9">
        <f>SUM('PL by Month'!AD34:AO34)</f>
        <v>-16311</v>
      </c>
      <c r="AE34" s="9">
        <f>SUM('PL by Month'!AE34:AP34)</f>
        <v>-15745</v>
      </c>
      <c r="AF34" s="9">
        <f>SUM('PL by Month'!AF34:AQ34)</f>
        <v>-15168</v>
      </c>
      <c r="AG34" s="9">
        <f>SUM('PL by Month'!AG34:AR34)</f>
        <v>-14585</v>
      </c>
      <c r="AH34" s="9">
        <f>SUM('PL by Month'!AH34:AS34)</f>
        <v>-13990</v>
      </c>
      <c r="AI34" s="9">
        <f>SUM('PL by Month'!AI34:AT34)</f>
        <v>-13389</v>
      </c>
      <c r="AJ34" s="9">
        <f>SUM('PL by Month'!AJ34:AU34)</f>
        <v>-12782</v>
      </c>
      <c r="AK34" s="9">
        <f>SUM('PL by Month'!AK34:AV34)</f>
        <v>-12368</v>
      </c>
      <c r="AL34" s="9">
        <f>SUM('PL by Month'!AL34:AW34)</f>
        <v>-12088</v>
      </c>
      <c r="AM34" s="9">
        <f>SUM('PL by Month'!AM34:AX34)</f>
        <v>-11869.09090909091</v>
      </c>
      <c r="AN34" s="9">
        <f>SUM('PL by Month'!AN34:AY34)</f>
        <v>-11694.644628099175</v>
      </c>
      <c r="AO34" s="9">
        <f>SUM('PL by Month'!AO34:AZ34)</f>
        <v>-11567.612321562736</v>
      </c>
      <c r="AP34" s="9">
        <f>SUM('PL by Month'!AP34:BA34)</f>
        <v>-11352.667987159348</v>
      </c>
      <c r="AQ34" s="9">
        <f>SUM('PL by Month'!AQ34:BB34)</f>
        <v>-11194.546895082924</v>
      </c>
      <c r="AR34" s="9">
        <f>SUM('PL by Month'!AR34:BC34)</f>
        <v>-11091.869340090461</v>
      </c>
      <c r="AS34" s="9">
        <f>SUM('PL by Month'!AS34:BD34)</f>
        <v>-11049.675643735049</v>
      </c>
      <c r="AT34" s="9">
        <f>SUM('PL by Month'!AT34:BE34)</f>
        <v>-11074.555247710961</v>
      </c>
      <c r="AU34" s="9">
        <f>SUM('PL by Month'!AU34:BF34)</f>
        <v>-11171.514815684684</v>
      </c>
      <c r="AV34" s="9">
        <f>SUM('PL by Month'!AV34:BG34)</f>
        <v>-11347.107071656019</v>
      </c>
      <c r="AW34" s="9">
        <f>SUM('PL by Month'!AW34:BH34)</f>
        <v>-11385.934987261113</v>
      </c>
      <c r="AX34" s="9">
        <f>SUM('PL by Month'!AX34:BI34)</f>
        <v>-11345.38362246667</v>
      </c>
    </row>
    <row r="35" spans="1:50" s="61" customFormat="1" ht="12.75">
      <c r="A35" s="10" t="s">
        <v>88</v>
      </c>
      <c r="B35" s="77">
        <f>SUM(B32:B34)</f>
        <v>-146576</v>
      </c>
      <c r="C35" s="77">
        <f aca="true" t="shared" si="9" ref="C35:AX35">SUM(C32:C34)</f>
        <v>-147450</v>
      </c>
      <c r="D35" s="77">
        <f t="shared" si="9"/>
        <v>-144318</v>
      </c>
      <c r="E35" s="77">
        <f t="shared" si="9"/>
        <v>-141175</v>
      </c>
      <c r="F35" s="77">
        <f t="shared" si="9"/>
        <v>-138457</v>
      </c>
      <c r="G35" s="77">
        <f t="shared" si="9"/>
        <v>-135757</v>
      </c>
      <c r="H35" s="77">
        <f t="shared" si="9"/>
        <v>-133034</v>
      </c>
      <c r="I35" s="77">
        <f t="shared" si="9"/>
        <v>-130124</v>
      </c>
      <c r="J35" s="77">
        <f t="shared" si="9"/>
        <v>-127202</v>
      </c>
      <c r="K35" s="77">
        <f t="shared" si="9"/>
        <v>-124200</v>
      </c>
      <c r="L35" s="77">
        <f t="shared" si="9"/>
        <v>-122167</v>
      </c>
      <c r="M35" s="77">
        <f t="shared" si="9"/>
        <v>-118962</v>
      </c>
      <c r="N35" s="77">
        <f t="shared" si="9"/>
        <v>-114836</v>
      </c>
      <c r="O35" s="77">
        <f t="shared" si="9"/>
        <v>-118970</v>
      </c>
      <c r="P35" s="77">
        <f t="shared" si="9"/>
        <v>-123087</v>
      </c>
      <c r="Q35" s="77">
        <f t="shared" si="9"/>
        <v>-127186</v>
      </c>
      <c r="R35" s="77">
        <f t="shared" si="9"/>
        <v>-130836</v>
      </c>
      <c r="S35" s="77">
        <f t="shared" si="9"/>
        <v>-134900</v>
      </c>
      <c r="T35" s="77">
        <f t="shared" si="9"/>
        <v>-138952</v>
      </c>
      <c r="U35" s="77">
        <f t="shared" si="9"/>
        <v>-142893</v>
      </c>
      <c r="V35" s="77">
        <f t="shared" si="9"/>
        <v>-146847</v>
      </c>
      <c r="W35" s="77">
        <f t="shared" si="9"/>
        <v>-150864</v>
      </c>
      <c r="X35" s="77">
        <f t="shared" si="9"/>
        <v>-154713</v>
      </c>
      <c r="Y35" s="77">
        <f t="shared" si="9"/>
        <v>-158549</v>
      </c>
      <c r="Z35" s="77">
        <f t="shared" si="9"/>
        <v>-162024</v>
      </c>
      <c r="AA35" s="77">
        <f t="shared" si="9"/>
        <v>-151838</v>
      </c>
      <c r="AB35" s="77">
        <f t="shared" si="9"/>
        <v>-141639</v>
      </c>
      <c r="AC35" s="77">
        <f t="shared" si="9"/>
        <v>-131429</v>
      </c>
      <c r="AD35" s="77">
        <f t="shared" si="9"/>
        <v>-121336</v>
      </c>
      <c r="AE35" s="77">
        <f t="shared" si="9"/>
        <v>-110770</v>
      </c>
      <c r="AF35" s="77">
        <f t="shared" si="9"/>
        <v>-100193</v>
      </c>
      <c r="AG35" s="77">
        <f t="shared" si="9"/>
        <v>-89710</v>
      </c>
      <c r="AH35" s="77">
        <f t="shared" si="9"/>
        <v>-79190</v>
      </c>
      <c r="AI35" s="77">
        <f t="shared" si="9"/>
        <v>-68589</v>
      </c>
      <c r="AJ35" s="77">
        <f t="shared" si="9"/>
        <v>-57982</v>
      </c>
      <c r="AK35" s="77">
        <f t="shared" si="9"/>
        <v>-47568</v>
      </c>
      <c r="AL35" s="77">
        <f t="shared" si="9"/>
        <v>-37288</v>
      </c>
      <c r="AM35" s="77">
        <f t="shared" si="9"/>
        <v>-37069.09090909091</v>
      </c>
      <c r="AN35" s="77">
        <f t="shared" si="9"/>
        <v>-36894.64462809917</v>
      </c>
      <c r="AO35" s="77">
        <f t="shared" si="9"/>
        <v>-36767.61232156274</v>
      </c>
      <c r="AP35" s="77">
        <f t="shared" si="9"/>
        <v>-36552.66798715935</v>
      </c>
      <c r="AQ35" s="77">
        <f t="shared" si="9"/>
        <v>-36394.54689508292</v>
      </c>
      <c r="AR35" s="77">
        <f t="shared" si="9"/>
        <v>-36291.86934009046</v>
      </c>
      <c r="AS35" s="77">
        <f t="shared" si="9"/>
        <v>-36249.67564373505</v>
      </c>
      <c r="AT35" s="77">
        <f t="shared" si="9"/>
        <v>-36274.55524771096</v>
      </c>
      <c r="AU35" s="77">
        <f t="shared" si="9"/>
        <v>-36371.514815684684</v>
      </c>
      <c r="AV35" s="77">
        <f t="shared" si="9"/>
        <v>-36547.10707165602</v>
      </c>
      <c r="AW35" s="77">
        <f t="shared" si="9"/>
        <v>-36585.93498726111</v>
      </c>
      <c r="AX35" s="77">
        <f t="shared" si="9"/>
        <v>-36545.383622466674</v>
      </c>
    </row>
    <row r="36" s="61" customFormat="1" ht="12.75">
      <c r="A36" s="11"/>
    </row>
    <row r="37" spans="1:50" s="61" customFormat="1" ht="13.5" thickBot="1">
      <c r="A37" s="10" t="s">
        <v>1</v>
      </c>
      <c r="B37" s="86">
        <f>B29+B35</f>
        <v>66424</v>
      </c>
      <c r="C37" s="86">
        <f aca="true" t="shared" si="10" ref="C37:AX37">C29+C35</f>
        <v>57550</v>
      </c>
      <c r="D37" s="86">
        <f t="shared" si="10"/>
        <v>25682</v>
      </c>
      <c r="E37" s="86">
        <f t="shared" si="10"/>
        <v>110825</v>
      </c>
      <c r="F37" s="86">
        <f t="shared" si="10"/>
        <v>114543</v>
      </c>
      <c r="G37" s="86">
        <f t="shared" si="10"/>
        <v>149243</v>
      </c>
      <c r="H37" s="86">
        <f t="shared" si="10"/>
        <v>295966</v>
      </c>
      <c r="I37" s="86">
        <f t="shared" si="10"/>
        <v>165876</v>
      </c>
      <c r="J37" s="86">
        <f t="shared" si="10"/>
        <v>207798</v>
      </c>
      <c r="K37" s="86">
        <f t="shared" si="10"/>
        <v>90800</v>
      </c>
      <c r="L37" s="86">
        <f t="shared" si="10"/>
        <v>122833</v>
      </c>
      <c r="M37" s="86">
        <f t="shared" si="10"/>
        <v>246038</v>
      </c>
      <c r="N37" s="86">
        <f t="shared" si="10"/>
        <v>96164</v>
      </c>
      <c r="O37" s="86">
        <f t="shared" si="10"/>
        <v>259030</v>
      </c>
      <c r="P37" s="86">
        <f t="shared" si="10"/>
        <v>279913</v>
      </c>
      <c r="Q37" s="86">
        <f t="shared" si="10"/>
        <v>40814</v>
      </c>
      <c r="R37" s="86">
        <f t="shared" si="10"/>
        <v>98164</v>
      </c>
      <c r="S37" s="86">
        <f t="shared" si="10"/>
        <v>91100</v>
      </c>
      <c r="T37" s="86">
        <f t="shared" si="10"/>
        <v>114048</v>
      </c>
      <c r="U37" s="86">
        <f t="shared" si="10"/>
        <v>129107</v>
      </c>
      <c r="V37" s="86">
        <f t="shared" si="10"/>
        <v>151153</v>
      </c>
      <c r="W37" s="86">
        <f t="shared" si="10"/>
        <v>146136</v>
      </c>
      <c r="X37" s="86">
        <f t="shared" si="10"/>
        <v>219287</v>
      </c>
      <c r="Y37" s="86">
        <f t="shared" si="10"/>
        <v>229451</v>
      </c>
      <c r="Z37" s="86">
        <f t="shared" si="10"/>
        <v>232976</v>
      </c>
      <c r="AA37" s="86">
        <f t="shared" si="10"/>
        <v>117162</v>
      </c>
      <c r="AB37" s="86">
        <f t="shared" si="10"/>
        <v>98361</v>
      </c>
      <c r="AC37" s="86">
        <f t="shared" si="10"/>
        <v>258571</v>
      </c>
      <c r="AD37" s="86">
        <f t="shared" si="10"/>
        <v>318664</v>
      </c>
      <c r="AE37" s="86">
        <f t="shared" si="10"/>
        <v>266230</v>
      </c>
      <c r="AF37" s="86">
        <f t="shared" si="10"/>
        <v>228807</v>
      </c>
      <c r="AG37" s="86">
        <f t="shared" si="10"/>
        <v>236290</v>
      </c>
      <c r="AH37" s="86">
        <f t="shared" si="10"/>
        <v>351810</v>
      </c>
      <c r="AI37" s="86">
        <f t="shared" si="10"/>
        <v>376411</v>
      </c>
      <c r="AJ37" s="86">
        <f t="shared" si="10"/>
        <v>306018</v>
      </c>
      <c r="AK37" s="86">
        <f t="shared" si="10"/>
        <v>295432</v>
      </c>
      <c r="AL37" s="86">
        <f t="shared" si="10"/>
        <v>328712</v>
      </c>
      <c r="AM37" s="86">
        <f t="shared" si="10"/>
        <v>309760.1245225362</v>
      </c>
      <c r="AN37" s="86">
        <f t="shared" si="10"/>
        <v>337876.2947426904</v>
      </c>
      <c r="AO37" s="86">
        <f t="shared" si="10"/>
        <v>408868.06867269834</v>
      </c>
      <c r="AP37" s="86">
        <f t="shared" si="10"/>
        <v>376147.72732208774</v>
      </c>
      <c r="AQ37" s="86">
        <f t="shared" si="10"/>
        <v>431303.09214357624</v>
      </c>
      <c r="AR37" s="86">
        <f t="shared" si="10"/>
        <v>429780.31060429884</v>
      </c>
      <c r="AS37" s="86">
        <f t="shared" si="10"/>
        <v>441060.5596202738</v>
      </c>
      <c r="AT37" s="86">
        <f t="shared" si="10"/>
        <v>411747.79460485216</v>
      </c>
      <c r="AU37" s="86">
        <f t="shared" si="10"/>
        <v>442872.62619994575</v>
      </c>
      <c r="AV37" s="86">
        <f t="shared" si="10"/>
        <v>420485.50436479924</v>
      </c>
      <c r="AW37" s="86">
        <f t="shared" si="10"/>
        <v>418322.6625156098</v>
      </c>
      <c r="AX37" s="86">
        <f t="shared" si="10"/>
        <v>401016.41334781575</v>
      </c>
    </row>
    <row r="38" spans="1:50" s="61" customFormat="1" ht="13.5" thickTop="1">
      <c r="A38" s="80" t="s">
        <v>202</v>
      </c>
      <c r="B38" s="84">
        <f>B37/B7</f>
        <v>0.026421638822593477</v>
      </c>
      <c r="C38" s="84">
        <f aca="true" t="shared" si="11" ref="C38:AX38">C37/C7</f>
        <v>0.022306201550387598</v>
      </c>
      <c r="D38" s="84">
        <f t="shared" si="11"/>
        <v>0.010020288724151385</v>
      </c>
      <c r="E38" s="84">
        <f t="shared" si="11"/>
        <v>0.041979166666666665</v>
      </c>
      <c r="F38" s="84">
        <f t="shared" si="11"/>
        <v>0.0425336056442629</v>
      </c>
      <c r="G38" s="84">
        <f t="shared" si="11"/>
        <v>0.054587783467446964</v>
      </c>
      <c r="H38" s="84">
        <f t="shared" si="11"/>
        <v>0.10060027192386131</v>
      </c>
      <c r="I38" s="84">
        <f t="shared" si="11"/>
        <v>0.05840704225352113</v>
      </c>
      <c r="J38" s="84">
        <f t="shared" si="11"/>
        <v>0.0713592032967033</v>
      </c>
      <c r="K38" s="84">
        <f t="shared" si="11"/>
        <v>0.03223287184948527</v>
      </c>
      <c r="L38" s="84">
        <f t="shared" si="11"/>
        <v>0.04348070796460177</v>
      </c>
      <c r="M38" s="84">
        <f t="shared" si="11"/>
        <v>0.08545953456061132</v>
      </c>
      <c r="N38" s="84">
        <f t="shared" si="11"/>
        <v>0.034430361618331545</v>
      </c>
      <c r="O38" s="84">
        <f t="shared" si="11"/>
        <v>0.08283658458586504</v>
      </c>
      <c r="P38" s="84">
        <f t="shared" si="11"/>
        <v>0.08805064485687324</v>
      </c>
      <c r="Q38" s="84">
        <f t="shared" si="11"/>
        <v>0.013157317859445518</v>
      </c>
      <c r="R38" s="84">
        <f t="shared" si="11"/>
        <v>0.03060929217337075</v>
      </c>
      <c r="S38" s="84">
        <f t="shared" si="11"/>
        <v>0.028186881188118813</v>
      </c>
      <c r="T38" s="84">
        <f t="shared" si="11"/>
        <v>0.035429636533084806</v>
      </c>
      <c r="U38" s="84">
        <f t="shared" si="11"/>
        <v>0.03992176870748299</v>
      </c>
      <c r="V38" s="84">
        <f t="shared" si="11"/>
        <v>0.046111348383160465</v>
      </c>
      <c r="W38" s="84">
        <f t="shared" si="11"/>
        <v>0.045567820392890555</v>
      </c>
      <c r="X38" s="84">
        <f t="shared" si="11"/>
        <v>0.06708075864178648</v>
      </c>
      <c r="Y38" s="84">
        <f t="shared" si="11"/>
        <v>0.06932054380664653</v>
      </c>
      <c r="Z38" s="84">
        <f t="shared" si="11"/>
        <v>0.07228544834005585</v>
      </c>
      <c r="AA38" s="84">
        <f t="shared" si="11"/>
        <v>0.04035893902859111</v>
      </c>
      <c r="AB38" s="84">
        <f t="shared" si="11"/>
        <v>0.03444012605042017</v>
      </c>
      <c r="AC38" s="84">
        <f t="shared" si="11"/>
        <v>0.08931640759930916</v>
      </c>
      <c r="AD38" s="84">
        <f t="shared" si="11"/>
        <v>0.1114599510318293</v>
      </c>
      <c r="AE38" s="84">
        <f t="shared" si="11"/>
        <v>0.09511611289746338</v>
      </c>
      <c r="AF38" s="84">
        <f t="shared" si="11"/>
        <v>0.08329341099381143</v>
      </c>
      <c r="AG38" s="84">
        <f t="shared" si="11"/>
        <v>0.08680749448934606</v>
      </c>
      <c r="AH38" s="84">
        <f t="shared" si="11"/>
        <v>0.12422669491525423</v>
      </c>
      <c r="AI38" s="84">
        <f t="shared" si="11"/>
        <v>0.1306982638888889</v>
      </c>
      <c r="AJ38" s="84">
        <f t="shared" si="11"/>
        <v>0.10952684323550466</v>
      </c>
      <c r="AK38" s="84">
        <f t="shared" si="11"/>
        <v>0.10665415162454873</v>
      </c>
      <c r="AL38" s="84">
        <f t="shared" si="11"/>
        <v>0.1172714948269711</v>
      </c>
      <c r="AM38" s="84">
        <f t="shared" si="11"/>
        <v>0.10961080131724564</v>
      </c>
      <c r="AN38" s="84">
        <f t="shared" si="11"/>
        <v>0.11907954280069444</v>
      </c>
      <c r="AO38" s="84">
        <f t="shared" si="11"/>
        <v>0.14360860829359642</v>
      </c>
      <c r="AP38" s="84">
        <f t="shared" si="11"/>
        <v>0.13082944152276016</v>
      </c>
      <c r="AQ38" s="84">
        <f t="shared" si="11"/>
        <v>0.14862782733504815</v>
      </c>
      <c r="AR38" s="84">
        <f t="shared" si="11"/>
        <v>0.1464777310263109</v>
      </c>
      <c r="AS38" s="84">
        <f t="shared" si="11"/>
        <v>0.14897171601995265</v>
      </c>
      <c r="AT38" s="84">
        <f t="shared" si="11"/>
        <v>0.13716696468947037</v>
      </c>
      <c r="AU38" s="84">
        <f t="shared" si="11"/>
        <v>0.14647680707787192</v>
      </c>
      <c r="AV38" s="84">
        <f t="shared" si="11"/>
        <v>0.1378957479961956</v>
      </c>
      <c r="AW38" s="84">
        <f t="shared" si="11"/>
        <v>0.13631917832163776</v>
      </c>
      <c r="AX38" s="84">
        <f t="shared" si="11"/>
        <v>0.13006078336451715</v>
      </c>
    </row>
    <row r="39" ht="12.75">
      <c r="A39" s="58"/>
    </row>
    <row r="40" spans="1:50" ht="12.75">
      <c r="A40" s="60" t="s">
        <v>90</v>
      </c>
      <c r="B40" s="4">
        <v>0.1</v>
      </c>
      <c r="C40" s="4">
        <v>0.1</v>
      </c>
      <c r="D40" s="4">
        <v>0.1</v>
      </c>
      <c r="E40" s="4">
        <v>0.1</v>
      </c>
      <c r="F40" s="4">
        <v>0.1</v>
      </c>
      <c r="G40" s="4">
        <v>0.1</v>
      </c>
      <c r="H40" s="4">
        <v>0.1</v>
      </c>
      <c r="I40" s="4">
        <v>0.1</v>
      </c>
      <c r="J40" s="4">
        <v>0.1</v>
      </c>
      <c r="K40" s="4">
        <v>0.1</v>
      </c>
      <c r="L40" s="4">
        <v>0.1</v>
      </c>
      <c r="M40" s="4">
        <v>0.1</v>
      </c>
      <c r="N40" s="4">
        <v>0.1</v>
      </c>
      <c r="O40" s="4">
        <v>0.1</v>
      </c>
      <c r="P40" s="4">
        <v>0.1</v>
      </c>
      <c r="Q40" s="4">
        <v>0.1</v>
      </c>
      <c r="R40" s="4">
        <v>0.1</v>
      </c>
      <c r="S40" s="4">
        <v>0.1</v>
      </c>
      <c r="T40" s="4">
        <v>0.1</v>
      </c>
      <c r="U40" s="4">
        <v>0.1</v>
      </c>
      <c r="V40" s="4">
        <v>0.1</v>
      </c>
      <c r="W40" s="4">
        <v>0.1</v>
      </c>
      <c r="X40" s="4">
        <v>0.1</v>
      </c>
      <c r="Y40" s="4">
        <v>0.1</v>
      </c>
      <c r="Z40" s="4">
        <v>0.1</v>
      </c>
      <c r="AA40" s="4">
        <v>0.1</v>
      </c>
      <c r="AB40" s="4">
        <v>0.1</v>
      </c>
      <c r="AC40" s="4">
        <v>0.1</v>
      </c>
      <c r="AD40" s="4">
        <v>0.1</v>
      </c>
      <c r="AE40" s="4">
        <v>0.1</v>
      </c>
      <c r="AF40" s="4">
        <v>0.1</v>
      </c>
      <c r="AG40" s="4">
        <v>0.1</v>
      </c>
      <c r="AH40" s="4">
        <v>0.1</v>
      </c>
      <c r="AI40" s="4">
        <v>0.1</v>
      </c>
      <c r="AJ40" s="4">
        <v>0.1</v>
      </c>
      <c r="AK40" s="4">
        <v>0.1</v>
      </c>
      <c r="AL40" s="4">
        <v>0.1</v>
      </c>
      <c r="AM40" s="4">
        <v>0.1</v>
      </c>
      <c r="AN40" s="4">
        <v>0.1</v>
      </c>
      <c r="AO40" s="4">
        <v>0.1</v>
      </c>
      <c r="AP40" s="4">
        <v>0.1</v>
      </c>
      <c r="AQ40" s="4">
        <v>0.1</v>
      </c>
      <c r="AR40" s="4">
        <v>0.1</v>
      </c>
      <c r="AS40" s="4">
        <v>0.1</v>
      </c>
      <c r="AT40" s="4">
        <v>0.1</v>
      </c>
      <c r="AU40" s="4">
        <v>0.1</v>
      </c>
      <c r="AV40" s="4">
        <v>0.1</v>
      </c>
      <c r="AW40" s="4">
        <v>0.1</v>
      </c>
      <c r="AX40" s="4">
        <v>0.1</v>
      </c>
    </row>
    <row r="41" ht="12.75">
      <c r="A41" s="1"/>
    </row>
    <row r="42" spans="1:50" ht="12.75">
      <c r="A42" s="60" t="s">
        <v>91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</row>
    <row r="43" ht="12.75">
      <c r="A43" s="1"/>
    </row>
    <row r="44" spans="1:50" ht="12.75">
      <c r="A44" s="3" t="s">
        <v>92</v>
      </c>
      <c r="B44" s="5">
        <f aca="true" t="shared" si="12" ref="B44:AG44">B11</f>
        <v>1609000</v>
      </c>
      <c r="C44" s="5">
        <f t="shared" si="12"/>
        <v>1631000</v>
      </c>
      <c r="D44" s="5">
        <f t="shared" si="12"/>
        <v>1627000</v>
      </c>
      <c r="E44" s="5">
        <f t="shared" si="12"/>
        <v>1757000</v>
      </c>
      <c r="F44" s="5">
        <f t="shared" si="12"/>
        <v>1775000</v>
      </c>
      <c r="G44" s="5">
        <f t="shared" si="12"/>
        <v>1834000</v>
      </c>
      <c r="H44" s="5">
        <f t="shared" si="12"/>
        <v>2032000</v>
      </c>
      <c r="I44" s="5">
        <f t="shared" si="12"/>
        <v>1914000</v>
      </c>
      <c r="J44" s="5">
        <f t="shared" si="12"/>
        <v>1990000</v>
      </c>
      <c r="K44" s="5">
        <f t="shared" si="12"/>
        <v>1920000</v>
      </c>
      <c r="L44" s="5">
        <f t="shared" si="12"/>
        <v>1915000</v>
      </c>
      <c r="M44" s="5">
        <f t="shared" si="12"/>
        <v>2028000</v>
      </c>
      <c r="N44" s="5">
        <f t="shared" si="12"/>
        <v>1878000</v>
      </c>
      <c r="O44" s="5">
        <f t="shared" si="12"/>
        <v>2221000</v>
      </c>
      <c r="P44" s="5">
        <f t="shared" si="12"/>
        <v>2250000</v>
      </c>
      <c r="Q44" s="5">
        <f t="shared" si="12"/>
        <v>2006000</v>
      </c>
      <c r="R44" s="5">
        <f t="shared" si="12"/>
        <v>2074000</v>
      </c>
      <c r="S44" s="5">
        <f t="shared" si="12"/>
        <v>2070000</v>
      </c>
      <c r="T44" s="5">
        <f t="shared" si="12"/>
        <v>2048000</v>
      </c>
      <c r="U44" s="5">
        <f t="shared" si="12"/>
        <v>2074000</v>
      </c>
      <c r="V44" s="5">
        <f t="shared" si="12"/>
        <v>2131000</v>
      </c>
      <c r="W44" s="5">
        <f t="shared" si="12"/>
        <v>2079000</v>
      </c>
      <c r="X44" s="5">
        <f t="shared" si="12"/>
        <v>2160000</v>
      </c>
      <c r="Y44" s="5">
        <f t="shared" si="12"/>
        <v>2191000</v>
      </c>
      <c r="Z44" s="5">
        <f t="shared" si="12"/>
        <v>2134000</v>
      </c>
      <c r="AA44" s="5">
        <f t="shared" si="12"/>
        <v>1835000</v>
      </c>
      <c r="AB44" s="5">
        <f t="shared" si="12"/>
        <v>1800000</v>
      </c>
      <c r="AC44" s="5">
        <f t="shared" si="12"/>
        <v>1958000</v>
      </c>
      <c r="AD44" s="5">
        <f t="shared" si="12"/>
        <v>1964000</v>
      </c>
      <c r="AE44" s="5">
        <f t="shared" si="12"/>
        <v>1906000</v>
      </c>
      <c r="AF44" s="5">
        <f t="shared" si="12"/>
        <v>1874000</v>
      </c>
      <c r="AG44" s="5">
        <f t="shared" si="12"/>
        <v>1874000</v>
      </c>
      <c r="AH44" s="5">
        <f aca="true" t="shared" si="13" ref="AH44:AX44">AH11</f>
        <v>1979000</v>
      </c>
      <c r="AI44" s="5">
        <f t="shared" si="13"/>
        <v>2025000</v>
      </c>
      <c r="AJ44" s="5">
        <f t="shared" si="13"/>
        <v>1952000</v>
      </c>
      <c r="AK44" s="5">
        <f t="shared" si="13"/>
        <v>1918000</v>
      </c>
      <c r="AL44" s="5">
        <f t="shared" si="13"/>
        <v>1946000</v>
      </c>
      <c r="AM44" s="5">
        <f t="shared" si="13"/>
        <v>1944570</v>
      </c>
      <c r="AN44" s="5">
        <f t="shared" si="13"/>
        <v>1960096</v>
      </c>
      <c r="AO44" s="5">
        <f t="shared" si="13"/>
        <v>2018719</v>
      </c>
      <c r="AP44" s="5">
        <f t="shared" si="13"/>
        <v>2032239</v>
      </c>
      <c r="AQ44" s="5">
        <f t="shared" si="13"/>
        <v>2089651</v>
      </c>
      <c r="AR44" s="5">
        <f t="shared" si="13"/>
        <v>2112049</v>
      </c>
      <c r="AS44" s="5">
        <f t="shared" si="13"/>
        <v>2123943</v>
      </c>
      <c r="AT44" s="5">
        <f t="shared" si="13"/>
        <v>2103892</v>
      </c>
      <c r="AU44" s="5">
        <f t="shared" si="13"/>
        <v>2111595</v>
      </c>
      <c r="AV44" s="5">
        <f t="shared" si="13"/>
        <v>2104417</v>
      </c>
      <c r="AW44" s="5">
        <f t="shared" si="13"/>
        <v>2130663</v>
      </c>
      <c r="AX44" s="5">
        <f t="shared" si="13"/>
        <v>2127477</v>
      </c>
    </row>
    <row r="45" spans="1:50" ht="12.75">
      <c r="A45" s="3" t="s">
        <v>93</v>
      </c>
      <c r="B45" s="5">
        <f aca="true" t="shared" si="14" ref="B45:AG45">+B14+B22</f>
        <v>830000</v>
      </c>
      <c r="C45" s="5">
        <f t="shared" si="14"/>
        <v>853000</v>
      </c>
      <c r="D45" s="5">
        <f t="shared" si="14"/>
        <v>872000</v>
      </c>
      <c r="E45" s="5">
        <f t="shared" si="14"/>
        <v>898000</v>
      </c>
      <c r="F45" s="5">
        <f t="shared" si="14"/>
        <v>924000</v>
      </c>
      <c r="G45" s="5">
        <f t="shared" si="14"/>
        <v>954000</v>
      </c>
      <c r="H45" s="5">
        <f t="shared" si="14"/>
        <v>966000</v>
      </c>
      <c r="I45" s="5">
        <f t="shared" si="14"/>
        <v>994000</v>
      </c>
      <c r="J45" s="5">
        <f t="shared" si="14"/>
        <v>1018000</v>
      </c>
      <c r="K45" s="5">
        <f t="shared" si="14"/>
        <v>1056000</v>
      </c>
      <c r="L45" s="5">
        <f t="shared" si="14"/>
        <v>1016000</v>
      </c>
      <c r="M45" s="5">
        <f t="shared" si="14"/>
        <v>1010000</v>
      </c>
      <c r="N45" s="5">
        <f t="shared" si="14"/>
        <v>1026000</v>
      </c>
      <c r="O45" s="5">
        <f t="shared" si="14"/>
        <v>1049000</v>
      </c>
      <c r="P45" s="5">
        <f t="shared" si="14"/>
        <v>1046000</v>
      </c>
      <c r="Q45" s="5">
        <f t="shared" si="14"/>
        <v>1040000</v>
      </c>
      <c r="R45" s="5">
        <f t="shared" si="14"/>
        <v>1032000</v>
      </c>
      <c r="S45" s="5">
        <f t="shared" si="14"/>
        <v>1021000</v>
      </c>
      <c r="T45" s="5">
        <f t="shared" si="14"/>
        <v>1010000</v>
      </c>
      <c r="U45" s="5">
        <f t="shared" si="14"/>
        <v>996000</v>
      </c>
      <c r="V45" s="5">
        <f t="shared" si="14"/>
        <v>1022000</v>
      </c>
      <c r="W45" s="5">
        <f t="shared" si="14"/>
        <v>984000</v>
      </c>
      <c r="X45" s="5">
        <f t="shared" si="14"/>
        <v>986000</v>
      </c>
      <c r="Y45" s="5">
        <f t="shared" si="14"/>
        <v>984000</v>
      </c>
      <c r="Z45" s="5">
        <f t="shared" si="14"/>
        <v>961000</v>
      </c>
      <c r="AA45" s="5">
        <f t="shared" si="14"/>
        <v>922000</v>
      </c>
      <c r="AB45" s="5">
        <f t="shared" si="14"/>
        <v>921000</v>
      </c>
      <c r="AC45" s="5">
        <f t="shared" si="14"/>
        <v>932000</v>
      </c>
      <c r="AD45" s="5">
        <f t="shared" si="14"/>
        <v>913000</v>
      </c>
      <c r="AE45" s="5">
        <f t="shared" si="14"/>
        <v>911000</v>
      </c>
      <c r="AF45" s="5">
        <f t="shared" si="14"/>
        <v>912000</v>
      </c>
      <c r="AG45" s="5">
        <f t="shared" si="14"/>
        <v>901000</v>
      </c>
      <c r="AH45" s="5">
        <f aca="true" t="shared" si="15" ref="AH45:AX45">+AH14+AH22</f>
        <v>888000</v>
      </c>
      <c r="AI45" s="5">
        <f t="shared" si="15"/>
        <v>886000</v>
      </c>
      <c r="AJ45" s="5">
        <f t="shared" si="15"/>
        <v>874000</v>
      </c>
      <c r="AK45" s="5">
        <f t="shared" si="15"/>
        <v>869000</v>
      </c>
      <c r="AL45" s="5">
        <f t="shared" si="15"/>
        <v>877000</v>
      </c>
      <c r="AM45" s="5">
        <f t="shared" si="15"/>
        <v>910216.6386554622</v>
      </c>
      <c r="AN45" s="5">
        <f t="shared" si="15"/>
        <v>891480.5378151261</v>
      </c>
      <c r="AO45" s="5">
        <f t="shared" si="15"/>
        <v>854889.294117647</v>
      </c>
      <c r="AP45" s="5">
        <f t="shared" si="15"/>
        <v>869326.9411764706</v>
      </c>
      <c r="AQ45" s="5">
        <f t="shared" si="15"/>
        <v>870631.5462184874</v>
      </c>
      <c r="AR45" s="5">
        <f t="shared" si="15"/>
        <v>894534.8403361344</v>
      </c>
      <c r="AS45" s="5">
        <f t="shared" si="15"/>
        <v>908150.6050420167</v>
      </c>
      <c r="AT45" s="5">
        <f t="shared" si="15"/>
        <v>933707.294117647</v>
      </c>
      <c r="AU45" s="5">
        <f t="shared" si="15"/>
        <v>933446.4705882352</v>
      </c>
      <c r="AV45" s="5">
        <f t="shared" si="15"/>
        <v>955306.8739495797</v>
      </c>
      <c r="AW45" s="5">
        <f t="shared" si="15"/>
        <v>967124.3865546219</v>
      </c>
      <c r="AX45" s="5">
        <f t="shared" si="15"/>
        <v>965409.7310924369</v>
      </c>
    </row>
    <row r="46" spans="1:50" ht="12.75">
      <c r="A46" s="3" t="s">
        <v>94</v>
      </c>
      <c r="B46" s="5">
        <f>B42+B45</f>
        <v>830000</v>
      </c>
      <c r="C46" s="5">
        <f aca="true" t="shared" si="16" ref="C46:AL46">C42+C45</f>
        <v>853000</v>
      </c>
      <c r="D46" s="5">
        <f t="shared" si="16"/>
        <v>872000</v>
      </c>
      <c r="E46" s="5">
        <f t="shared" si="16"/>
        <v>898000</v>
      </c>
      <c r="F46" s="5">
        <f t="shared" si="16"/>
        <v>924000</v>
      </c>
      <c r="G46" s="5">
        <f t="shared" si="16"/>
        <v>954000</v>
      </c>
      <c r="H46" s="5">
        <f t="shared" si="16"/>
        <v>966000</v>
      </c>
      <c r="I46" s="5">
        <f t="shared" si="16"/>
        <v>994000</v>
      </c>
      <c r="J46" s="5">
        <f t="shared" si="16"/>
        <v>1018000</v>
      </c>
      <c r="K46" s="5">
        <f t="shared" si="16"/>
        <v>1056000</v>
      </c>
      <c r="L46" s="5">
        <f t="shared" si="16"/>
        <v>1016000</v>
      </c>
      <c r="M46" s="5">
        <f t="shared" si="16"/>
        <v>1010000</v>
      </c>
      <c r="N46" s="5">
        <f t="shared" si="16"/>
        <v>1026000</v>
      </c>
      <c r="O46" s="5">
        <f t="shared" si="16"/>
        <v>1049000</v>
      </c>
      <c r="P46" s="5">
        <f t="shared" si="16"/>
        <v>1046000</v>
      </c>
      <c r="Q46" s="5">
        <f t="shared" si="16"/>
        <v>1040000</v>
      </c>
      <c r="R46" s="5">
        <f t="shared" si="16"/>
        <v>1032000</v>
      </c>
      <c r="S46" s="5">
        <f t="shared" si="16"/>
        <v>1021000</v>
      </c>
      <c r="T46" s="5">
        <f t="shared" si="16"/>
        <v>1010000</v>
      </c>
      <c r="U46" s="5">
        <f t="shared" si="16"/>
        <v>996000</v>
      </c>
      <c r="V46" s="5">
        <f t="shared" si="16"/>
        <v>1022000</v>
      </c>
      <c r="W46" s="5">
        <f t="shared" si="16"/>
        <v>984000</v>
      </c>
      <c r="X46" s="5">
        <f t="shared" si="16"/>
        <v>986000</v>
      </c>
      <c r="Y46" s="5">
        <f t="shared" si="16"/>
        <v>984000</v>
      </c>
      <c r="Z46" s="5">
        <f t="shared" si="16"/>
        <v>961000</v>
      </c>
      <c r="AA46" s="5">
        <f t="shared" si="16"/>
        <v>922000</v>
      </c>
      <c r="AB46" s="5">
        <f t="shared" si="16"/>
        <v>921000</v>
      </c>
      <c r="AC46" s="5">
        <f t="shared" si="16"/>
        <v>932000</v>
      </c>
      <c r="AD46" s="5">
        <f t="shared" si="16"/>
        <v>913000</v>
      </c>
      <c r="AE46" s="5">
        <f t="shared" si="16"/>
        <v>911000</v>
      </c>
      <c r="AF46" s="5">
        <f>AF42+AF45</f>
        <v>912000</v>
      </c>
      <c r="AG46" s="5">
        <f t="shared" si="16"/>
        <v>901000</v>
      </c>
      <c r="AH46" s="5">
        <f t="shared" si="16"/>
        <v>888000</v>
      </c>
      <c r="AI46" s="5">
        <f t="shared" si="16"/>
        <v>886000</v>
      </c>
      <c r="AJ46" s="5">
        <f t="shared" si="16"/>
        <v>874000</v>
      </c>
      <c r="AK46" s="5">
        <f t="shared" si="16"/>
        <v>869000</v>
      </c>
      <c r="AL46" s="5">
        <f t="shared" si="16"/>
        <v>877000</v>
      </c>
      <c r="AM46" s="5">
        <f aca="true" t="shared" si="17" ref="AM46:AX46">AM42+AM45</f>
        <v>910216.6386554622</v>
      </c>
      <c r="AN46" s="5">
        <f t="shared" si="17"/>
        <v>891480.5378151261</v>
      </c>
      <c r="AO46" s="5">
        <f t="shared" si="17"/>
        <v>854889.294117647</v>
      </c>
      <c r="AP46" s="5">
        <f t="shared" si="17"/>
        <v>869326.9411764706</v>
      </c>
      <c r="AQ46" s="5">
        <f t="shared" si="17"/>
        <v>870631.5462184874</v>
      </c>
      <c r="AR46" s="5">
        <f t="shared" si="17"/>
        <v>894534.8403361344</v>
      </c>
      <c r="AS46" s="5">
        <f t="shared" si="17"/>
        <v>908150.6050420167</v>
      </c>
      <c r="AT46" s="5">
        <f t="shared" si="17"/>
        <v>933707.294117647</v>
      </c>
      <c r="AU46" s="5">
        <f t="shared" si="17"/>
        <v>933446.4705882352</v>
      </c>
      <c r="AV46" s="5">
        <f t="shared" si="17"/>
        <v>955306.8739495797</v>
      </c>
      <c r="AW46" s="5">
        <f t="shared" si="17"/>
        <v>967124.3865546219</v>
      </c>
      <c r="AX46" s="5">
        <f t="shared" si="17"/>
        <v>965409.7310924369</v>
      </c>
    </row>
    <row r="47" ht="12.75">
      <c r="A47"/>
    </row>
    <row r="48" spans="1:50" ht="12.75">
      <c r="A48" s="3" t="s">
        <v>28</v>
      </c>
      <c r="B48" s="5">
        <f>((1-B40)*B7)-B9-B20-B21-B23-B24+B35</f>
        <v>645024</v>
      </c>
      <c r="C48" s="5">
        <f aca="true" t="shared" si="18" ref="C48:AX48">((1-C40)*C7)-C9-C20-C21-C23-C24+C35</f>
        <v>652550</v>
      </c>
      <c r="D48" s="5">
        <f t="shared" si="18"/>
        <v>641382</v>
      </c>
      <c r="E48" s="5">
        <f t="shared" si="18"/>
        <v>744825</v>
      </c>
      <c r="F48" s="5">
        <f t="shared" si="18"/>
        <v>769243</v>
      </c>
      <c r="G48" s="5">
        <f t="shared" si="18"/>
        <v>829843</v>
      </c>
      <c r="H48" s="5">
        <f t="shared" si="18"/>
        <v>967766</v>
      </c>
      <c r="I48" s="5">
        <f t="shared" si="18"/>
        <v>875876</v>
      </c>
      <c r="J48" s="5">
        <f t="shared" si="18"/>
        <v>934598</v>
      </c>
      <c r="K48" s="5">
        <f t="shared" si="18"/>
        <v>865100</v>
      </c>
      <c r="L48" s="5">
        <f t="shared" si="18"/>
        <v>856333</v>
      </c>
      <c r="M48" s="5">
        <f t="shared" si="18"/>
        <v>968138</v>
      </c>
      <c r="N48" s="5">
        <f t="shared" si="18"/>
        <v>842864</v>
      </c>
      <c r="O48" s="5">
        <f t="shared" si="18"/>
        <v>995330</v>
      </c>
      <c r="P48" s="5">
        <f t="shared" si="18"/>
        <v>1008013</v>
      </c>
      <c r="Q48" s="5">
        <f t="shared" si="18"/>
        <v>770614</v>
      </c>
      <c r="R48" s="5">
        <f t="shared" si="18"/>
        <v>809464</v>
      </c>
      <c r="S48" s="5">
        <f t="shared" si="18"/>
        <v>788900</v>
      </c>
      <c r="T48" s="5">
        <f t="shared" si="18"/>
        <v>802148</v>
      </c>
      <c r="U48" s="5">
        <f t="shared" si="18"/>
        <v>801707</v>
      </c>
      <c r="V48" s="5">
        <f t="shared" si="18"/>
        <v>845353</v>
      </c>
      <c r="W48" s="5">
        <f t="shared" si="18"/>
        <v>809436</v>
      </c>
      <c r="X48" s="5">
        <f t="shared" si="18"/>
        <v>878387</v>
      </c>
      <c r="Y48" s="5">
        <f t="shared" si="18"/>
        <v>882451</v>
      </c>
      <c r="Z48" s="5">
        <f t="shared" si="18"/>
        <v>871676</v>
      </c>
      <c r="AA48" s="5">
        <f t="shared" si="18"/>
        <v>748862</v>
      </c>
      <c r="AB48" s="5">
        <f t="shared" si="18"/>
        <v>733761</v>
      </c>
      <c r="AC48" s="5">
        <f t="shared" si="18"/>
        <v>901071</v>
      </c>
      <c r="AD48" s="5">
        <f t="shared" si="18"/>
        <v>945764</v>
      </c>
      <c r="AE48" s="5">
        <f t="shared" si="18"/>
        <v>897330</v>
      </c>
      <c r="AF48" s="5">
        <f t="shared" si="18"/>
        <v>866107</v>
      </c>
      <c r="AG48" s="5">
        <f t="shared" si="18"/>
        <v>865090</v>
      </c>
      <c r="AH48" s="5">
        <f t="shared" si="18"/>
        <v>956610</v>
      </c>
      <c r="AI48" s="5">
        <f t="shared" si="18"/>
        <v>974411</v>
      </c>
      <c r="AJ48" s="5">
        <f t="shared" si="18"/>
        <v>900618</v>
      </c>
      <c r="AK48" s="5">
        <f t="shared" si="18"/>
        <v>887432</v>
      </c>
      <c r="AL48" s="5">
        <f t="shared" si="18"/>
        <v>925412</v>
      </c>
      <c r="AM48" s="5">
        <f t="shared" si="18"/>
        <v>937376.7631779985</v>
      </c>
      <c r="AN48" s="5">
        <f t="shared" si="18"/>
        <v>945616.8325578165</v>
      </c>
      <c r="AO48" s="5">
        <f t="shared" si="18"/>
        <v>979047.3627903453</v>
      </c>
      <c r="AP48" s="5">
        <f t="shared" si="18"/>
        <v>957964.6684985585</v>
      </c>
      <c r="AQ48" s="5">
        <f t="shared" si="18"/>
        <v>1011744.6383620637</v>
      </c>
      <c r="AR48" s="5">
        <f t="shared" si="18"/>
        <v>1030905.1509404333</v>
      </c>
      <c r="AS48" s="5">
        <f t="shared" si="18"/>
        <v>1053141.1646622906</v>
      </c>
      <c r="AT48" s="5">
        <f t="shared" si="18"/>
        <v>1045275.0887224991</v>
      </c>
      <c r="AU48" s="5">
        <f t="shared" si="18"/>
        <v>1073969.0967881808</v>
      </c>
      <c r="AV48" s="5">
        <f t="shared" si="18"/>
        <v>1070862.378314379</v>
      </c>
      <c r="AW48" s="5">
        <f t="shared" si="18"/>
        <v>1078577.0490702314</v>
      </c>
      <c r="AX48" s="5">
        <f t="shared" si="18"/>
        <v>1058096.1444402528</v>
      </c>
    </row>
    <row r="49" spans="1:50" ht="12.75">
      <c r="A49" s="3" t="s">
        <v>95</v>
      </c>
      <c r="B49" s="5">
        <f>B48-B46</f>
        <v>-184976</v>
      </c>
      <c r="C49" s="5">
        <f aca="true" t="shared" si="19" ref="C49:AX49">C48-C46</f>
        <v>-200450</v>
      </c>
      <c r="D49" s="5">
        <f t="shared" si="19"/>
        <v>-230618</v>
      </c>
      <c r="E49" s="5">
        <f t="shared" si="19"/>
        <v>-153175</v>
      </c>
      <c r="F49" s="5">
        <f t="shared" si="19"/>
        <v>-154757</v>
      </c>
      <c r="G49" s="5">
        <f t="shared" si="19"/>
        <v>-124157</v>
      </c>
      <c r="H49" s="5">
        <f t="shared" si="19"/>
        <v>1766</v>
      </c>
      <c r="I49" s="5">
        <f t="shared" si="19"/>
        <v>-118124</v>
      </c>
      <c r="J49" s="5">
        <f t="shared" si="19"/>
        <v>-83402</v>
      </c>
      <c r="K49" s="5">
        <f t="shared" si="19"/>
        <v>-190900</v>
      </c>
      <c r="L49" s="5">
        <f t="shared" si="19"/>
        <v>-159667</v>
      </c>
      <c r="M49" s="5">
        <f t="shared" si="19"/>
        <v>-41862</v>
      </c>
      <c r="N49" s="5">
        <f t="shared" si="19"/>
        <v>-183136</v>
      </c>
      <c r="O49" s="5">
        <f t="shared" si="19"/>
        <v>-53670</v>
      </c>
      <c r="P49" s="5">
        <f t="shared" si="19"/>
        <v>-37987</v>
      </c>
      <c r="Q49" s="5">
        <f t="shared" si="19"/>
        <v>-269386</v>
      </c>
      <c r="R49" s="5">
        <f t="shared" si="19"/>
        <v>-222536</v>
      </c>
      <c r="S49" s="5">
        <f t="shared" si="19"/>
        <v>-232100</v>
      </c>
      <c r="T49" s="5">
        <f t="shared" si="19"/>
        <v>-207852</v>
      </c>
      <c r="U49" s="5">
        <f t="shared" si="19"/>
        <v>-194293</v>
      </c>
      <c r="V49" s="5">
        <f t="shared" si="19"/>
        <v>-176647</v>
      </c>
      <c r="W49" s="5">
        <f t="shared" si="19"/>
        <v>-174564</v>
      </c>
      <c r="X49" s="5">
        <f t="shared" si="19"/>
        <v>-107613</v>
      </c>
      <c r="Y49" s="5">
        <f t="shared" si="19"/>
        <v>-101549</v>
      </c>
      <c r="Z49" s="5">
        <f t="shared" si="19"/>
        <v>-89324</v>
      </c>
      <c r="AA49" s="5">
        <f t="shared" si="19"/>
        <v>-173138</v>
      </c>
      <c r="AB49" s="5">
        <f t="shared" si="19"/>
        <v>-187239</v>
      </c>
      <c r="AC49" s="5">
        <f t="shared" si="19"/>
        <v>-30929</v>
      </c>
      <c r="AD49" s="5">
        <f t="shared" si="19"/>
        <v>32764</v>
      </c>
      <c r="AE49" s="5">
        <f t="shared" si="19"/>
        <v>-13670</v>
      </c>
      <c r="AF49" s="5">
        <f>AF48-AF46</f>
        <v>-45893</v>
      </c>
      <c r="AG49" s="5">
        <f t="shared" si="19"/>
        <v>-35910</v>
      </c>
      <c r="AH49" s="5">
        <f t="shared" si="19"/>
        <v>68610</v>
      </c>
      <c r="AI49" s="5">
        <f t="shared" si="19"/>
        <v>88411</v>
      </c>
      <c r="AJ49" s="5">
        <f t="shared" si="19"/>
        <v>26618</v>
      </c>
      <c r="AK49" s="5">
        <f t="shared" si="19"/>
        <v>18432</v>
      </c>
      <c r="AL49" s="5">
        <f t="shared" si="19"/>
        <v>48412</v>
      </c>
      <c r="AM49" s="5">
        <f t="shared" si="19"/>
        <v>27160.124522536295</v>
      </c>
      <c r="AN49" s="5">
        <f t="shared" si="19"/>
        <v>54136.2947426904</v>
      </c>
      <c r="AO49" s="5">
        <f t="shared" si="19"/>
        <v>124158.06867269834</v>
      </c>
      <c r="AP49" s="5">
        <f t="shared" si="19"/>
        <v>88637.72732208786</v>
      </c>
      <c r="AQ49" s="5">
        <f t="shared" si="19"/>
        <v>141113.09214357624</v>
      </c>
      <c r="AR49" s="5">
        <f t="shared" si="19"/>
        <v>136370.31060429884</v>
      </c>
      <c r="AS49" s="5">
        <f t="shared" si="19"/>
        <v>144990.55962027388</v>
      </c>
      <c r="AT49" s="5">
        <f t="shared" si="19"/>
        <v>111567.7946048521</v>
      </c>
      <c r="AU49" s="5">
        <f t="shared" si="19"/>
        <v>140522.62619994557</v>
      </c>
      <c r="AV49" s="5">
        <f t="shared" si="19"/>
        <v>115555.50436479924</v>
      </c>
      <c r="AW49" s="5">
        <f t="shared" si="19"/>
        <v>111452.66251560953</v>
      </c>
      <c r="AX49" s="5">
        <f t="shared" si="19"/>
        <v>92686.41334781586</v>
      </c>
    </row>
    <row r="50" ht="12.75">
      <c r="A50"/>
    </row>
    <row r="51" spans="1:50" ht="12.75">
      <c r="A51" s="3" t="s">
        <v>96</v>
      </c>
      <c r="B51" s="5">
        <f>B44/B45</f>
        <v>1.9385542168674699</v>
      </c>
      <c r="C51" s="5">
        <f aca="true" t="shared" si="20" ref="C51:AL51">C44/C45</f>
        <v>1.9120750293083235</v>
      </c>
      <c r="D51" s="5">
        <f t="shared" si="20"/>
        <v>1.8658256880733946</v>
      </c>
      <c r="E51" s="5">
        <f t="shared" si="20"/>
        <v>1.9565701559020046</v>
      </c>
      <c r="F51" s="5">
        <f t="shared" si="20"/>
        <v>1.920995670995671</v>
      </c>
      <c r="G51" s="5">
        <f t="shared" si="20"/>
        <v>1.9224318658280923</v>
      </c>
      <c r="H51" s="5">
        <f t="shared" si="20"/>
        <v>2.10351966873706</v>
      </c>
      <c r="I51" s="5">
        <f t="shared" si="20"/>
        <v>1.9255533199195172</v>
      </c>
      <c r="J51" s="5">
        <f t="shared" si="20"/>
        <v>1.9548133595284873</v>
      </c>
      <c r="K51" s="5">
        <f t="shared" si="20"/>
        <v>1.8181818181818181</v>
      </c>
      <c r="L51" s="5">
        <f t="shared" si="20"/>
        <v>1.8848425196850394</v>
      </c>
      <c r="M51" s="5">
        <f t="shared" si="20"/>
        <v>2.007920792079208</v>
      </c>
      <c r="N51" s="5">
        <f t="shared" si="20"/>
        <v>1.8304093567251463</v>
      </c>
      <c r="O51" s="5">
        <f t="shared" si="20"/>
        <v>2.1172545281220208</v>
      </c>
      <c r="P51" s="5">
        <f t="shared" si="20"/>
        <v>2.1510516252390057</v>
      </c>
      <c r="Q51" s="5">
        <f t="shared" si="20"/>
        <v>1.9288461538461539</v>
      </c>
      <c r="R51" s="5">
        <f t="shared" si="20"/>
        <v>2.00968992248062</v>
      </c>
      <c r="S51" s="5">
        <f t="shared" si="20"/>
        <v>2.027424094025465</v>
      </c>
      <c r="T51" s="5">
        <f t="shared" si="20"/>
        <v>2.0277227722772277</v>
      </c>
      <c r="U51" s="5">
        <f t="shared" si="20"/>
        <v>2.0823293172690764</v>
      </c>
      <c r="V51" s="5">
        <f t="shared" si="20"/>
        <v>2.0851272015655575</v>
      </c>
      <c r="W51" s="5">
        <f t="shared" si="20"/>
        <v>2.1128048780487805</v>
      </c>
      <c r="X51" s="5">
        <f t="shared" si="20"/>
        <v>2.1906693711967544</v>
      </c>
      <c r="Y51" s="5">
        <f t="shared" si="20"/>
        <v>2.2266260162601625</v>
      </c>
      <c r="Z51" s="5">
        <f t="shared" si="20"/>
        <v>2.2206035379812694</v>
      </c>
      <c r="AA51" s="5">
        <f t="shared" si="20"/>
        <v>1.990238611713666</v>
      </c>
      <c r="AB51" s="5">
        <f t="shared" si="20"/>
        <v>1.9543973941368078</v>
      </c>
      <c r="AC51" s="5">
        <f t="shared" si="20"/>
        <v>2.1008583690987126</v>
      </c>
      <c r="AD51" s="5">
        <f t="shared" si="20"/>
        <v>2.1511500547645124</v>
      </c>
      <c r="AE51" s="5">
        <f t="shared" si="20"/>
        <v>2.092206366630077</v>
      </c>
      <c r="AF51" s="5">
        <f t="shared" si="20"/>
        <v>2.0548245614035086</v>
      </c>
      <c r="AG51" s="5">
        <f t="shared" si="20"/>
        <v>2.0799112097669257</v>
      </c>
      <c r="AH51" s="5">
        <f t="shared" si="20"/>
        <v>2.2286036036036037</v>
      </c>
      <c r="AI51" s="5">
        <f t="shared" si="20"/>
        <v>2.285553047404063</v>
      </c>
      <c r="AJ51" s="5">
        <f t="shared" si="20"/>
        <v>2.2334096109839816</v>
      </c>
      <c r="AK51" s="5">
        <f t="shared" si="20"/>
        <v>2.2071346375143843</v>
      </c>
      <c r="AL51" s="5">
        <f t="shared" si="20"/>
        <v>2.218928164196123</v>
      </c>
      <c r="AM51" s="5">
        <f aca="true" t="shared" si="21" ref="AM51:AX51">AM44/AM45</f>
        <v>2.136381513386138</v>
      </c>
      <c r="AN51" s="5">
        <f t="shared" si="21"/>
        <v>2.198697466580568</v>
      </c>
      <c r="AO51" s="5">
        <f t="shared" si="21"/>
        <v>2.3613806066943104</v>
      </c>
      <c r="AP51" s="5">
        <f t="shared" si="21"/>
        <v>2.3377154252803285</v>
      </c>
      <c r="AQ51" s="5">
        <f t="shared" si="21"/>
        <v>2.4001553918833034</v>
      </c>
      <c r="AR51" s="5">
        <f t="shared" si="21"/>
        <v>2.361058401265139</v>
      </c>
      <c r="AS51" s="5">
        <f t="shared" si="21"/>
        <v>2.3387563562782994</v>
      </c>
      <c r="AT51" s="5">
        <f t="shared" si="21"/>
        <v>2.2532671783272047</v>
      </c>
      <c r="AU51" s="5">
        <f t="shared" si="21"/>
        <v>2.262149000005672</v>
      </c>
      <c r="AV51" s="5">
        <f t="shared" si="21"/>
        <v>2.2028701534404216</v>
      </c>
      <c r="AW51" s="5">
        <f t="shared" si="21"/>
        <v>2.2030909670166436</v>
      </c>
      <c r="AX51" s="5">
        <f t="shared" si="21"/>
        <v>2.2037037037037037</v>
      </c>
    </row>
    <row r="52" spans="1:50" ht="12.75">
      <c r="A52" s="3" t="s">
        <v>97</v>
      </c>
      <c r="B52" s="5">
        <f>B44/B46</f>
        <v>1.9385542168674699</v>
      </c>
      <c r="C52" s="5">
        <f aca="true" t="shared" si="22" ref="C52:AL52">C44/C46</f>
        <v>1.9120750293083235</v>
      </c>
      <c r="D52" s="5">
        <f t="shared" si="22"/>
        <v>1.8658256880733946</v>
      </c>
      <c r="E52" s="5">
        <f t="shared" si="22"/>
        <v>1.9565701559020046</v>
      </c>
      <c r="F52" s="5">
        <f t="shared" si="22"/>
        <v>1.920995670995671</v>
      </c>
      <c r="G52" s="5">
        <f t="shared" si="22"/>
        <v>1.9224318658280923</v>
      </c>
      <c r="H52" s="5">
        <f t="shared" si="22"/>
        <v>2.10351966873706</v>
      </c>
      <c r="I52" s="5">
        <f t="shared" si="22"/>
        <v>1.9255533199195172</v>
      </c>
      <c r="J52" s="5">
        <f t="shared" si="22"/>
        <v>1.9548133595284873</v>
      </c>
      <c r="K52" s="5">
        <f t="shared" si="22"/>
        <v>1.8181818181818181</v>
      </c>
      <c r="L52" s="5">
        <f t="shared" si="22"/>
        <v>1.8848425196850394</v>
      </c>
      <c r="M52" s="5">
        <f t="shared" si="22"/>
        <v>2.007920792079208</v>
      </c>
      <c r="N52" s="5">
        <f t="shared" si="22"/>
        <v>1.8304093567251463</v>
      </c>
      <c r="O52" s="5">
        <f t="shared" si="22"/>
        <v>2.1172545281220208</v>
      </c>
      <c r="P52" s="5">
        <f t="shared" si="22"/>
        <v>2.1510516252390057</v>
      </c>
      <c r="Q52" s="5">
        <f t="shared" si="22"/>
        <v>1.9288461538461539</v>
      </c>
      <c r="R52" s="5">
        <f t="shared" si="22"/>
        <v>2.00968992248062</v>
      </c>
      <c r="S52" s="5">
        <f t="shared" si="22"/>
        <v>2.027424094025465</v>
      </c>
      <c r="T52" s="5">
        <f t="shared" si="22"/>
        <v>2.0277227722772277</v>
      </c>
      <c r="U52" s="5">
        <f t="shared" si="22"/>
        <v>2.0823293172690764</v>
      </c>
      <c r="V52" s="5">
        <f t="shared" si="22"/>
        <v>2.0851272015655575</v>
      </c>
      <c r="W52" s="5">
        <f t="shared" si="22"/>
        <v>2.1128048780487805</v>
      </c>
      <c r="X52" s="5">
        <f t="shared" si="22"/>
        <v>2.1906693711967544</v>
      </c>
      <c r="Y52" s="5">
        <f t="shared" si="22"/>
        <v>2.2266260162601625</v>
      </c>
      <c r="Z52" s="5">
        <f t="shared" si="22"/>
        <v>2.2206035379812694</v>
      </c>
      <c r="AA52" s="5">
        <f t="shared" si="22"/>
        <v>1.990238611713666</v>
      </c>
      <c r="AB52" s="5">
        <f t="shared" si="22"/>
        <v>1.9543973941368078</v>
      </c>
      <c r="AC52" s="5">
        <f t="shared" si="22"/>
        <v>2.1008583690987126</v>
      </c>
      <c r="AD52" s="5">
        <f t="shared" si="22"/>
        <v>2.1511500547645124</v>
      </c>
      <c r="AE52" s="5">
        <f t="shared" si="22"/>
        <v>2.092206366630077</v>
      </c>
      <c r="AF52" s="5">
        <f t="shared" si="22"/>
        <v>2.0548245614035086</v>
      </c>
      <c r="AG52" s="5">
        <f t="shared" si="22"/>
        <v>2.0799112097669257</v>
      </c>
      <c r="AH52" s="5">
        <f t="shared" si="22"/>
        <v>2.2286036036036037</v>
      </c>
      <c r="AI52" s="5">
        <f t="shared" si="22"/>
        <v>2.285553047404063</v>
      </c>
      <c r="AJ52" s="5">
        <f t="shared" si="22"/>
        <v>2.2334096109839816</v>
      </c>
      <c r="AK52" s="5">
        <f t="shared" si="22"/>
        <v>2.2071346375143843</v>
      </c>
      <c r="AL52" s="5">
        <f t="shared" si="22"/>
        <v>2.218928164196123</v>
      </c>
      <c r="AM52" s="5">
        <f aca="true" t="shared" si="23" ref="AM52:AX52">AM44/AM46</f>
        <v>2.136381513386138</v>
      </c>
      <c r="AN52" s="5">
        <f t="shared" si="23"/>
        <v>2.198697466580568</v>
      </c>
      <c r="AO52" s="5">
        <f t="shared" si="23"/>
        <v>2.3613806066943104</v>
      </c>
      <c r="AP52" s="5">
        <f t="shared" si="23"/>
        <v>2.3377154252803285</v>
      </c>
      <c r="AQ52" s="5">
        <f t="shared" si="23"/>
        <v>2.4001553918833034</v>
      </c>
      <c r="AR52" s="5">
        <f t="shared" si="23"/>
        <v>2.361058401265139</v>
      </c>
      <c r="AS52" s="5">
        <f t="shared" si="23"/>
        <v>2.3387563562782994</v>
      </c>
      <c r="AT52" s="5">
        <f t="shared" si="23"/>
        <v>2.2532671783272047</v>
      </c>
      <c r="AU52" s="5">
        <f t="shared" si="23"/>
        <v>2.262149000005672</v>
      </c>
      <c r="AV52" s="5">
        <f t="shared" si="23"/>
        <v>2.2028701534404216</v>
      </c>
      <c r="AW52" s="5">
        <f t="shared" si="23"/>
        <v>2.2030909670166436</v>
      </c>
      <c r="AX52" s="5">
        <f t="shared" si="23"/>
        <v>2.2037037037037037</v>
      </c>
    </row>
    <row r="55" spans="1:50" ht="12.75">
      <c r="A55" s="14" t="s">
        <v>203</v>
      </c>
      <c r="B55" s="74">
        <f>B21/B7</f>
        <v>0.022673031026252982</v>
      </c>
      <c r="C55" s="74">
        <f aca="true" t="shared" si="24" ref="C55:AX55">C21/C7</f>
        <v>0.022868217054263566</v>
      </c>
      <c r="D55" s="74">
        <f t="shared" si="24"/>
        <v>0.02614124073351541</v>
      </c>
      <c r="E55" s="74">
        <f t="shared" si="24"/>
        <v>0.026515151515151516</v>
      </c>
      <c r="F55" s="74">
        <f t="shared" si="24"/>
        <v>0.028221314519123655</v>
      </c>
      <c r="G55" s="74">
        <f t="shared" si="24"/>
        <v>0.029261155815654718</v>
      </c>
      <c r="H55" s="74">
        <f t="shared" si="24"/>
        <v>0.029231815091774305</v>
      </c>
      <c r="I55" s="74">
        <f t="shared" si="24"/>
        <v>0.03028169014084507</v>
      </c>
      <c r="J55" s="74">
        <f t="shared" si="24"/>
        <v>0.031936813186813184</v>
      </c>
      <c r="K55" s="74">
        <f t="shared" si="24"/>
        <v>0.03372381966631168</v>
      </c>
      <c r="L55" s="74">
        <f t="shared" si="24"/>
        <v>0.034690265486725665</v>
      </c>
      <c r="M55" s="74">
        <f t="shared" si="24"/>
        <v>0.035428968391802707</v>
      </c>
      <c r="N55" s="74">
        <f t="shared" si="24"/>
        <v>0.026136770497672754</v>
      </c>
      <c r="O55" s="74">
        <f t="shared" si="24"/>
        <v>0.023025263831148064</v>
      </c>
      <c r="P55" s="74">
        <f t="shared" si="24"/>
        <v>0.023592324630386914</v>
      </c>
      <c r="Q55" s="74">
        <f t="shared" si="24"/>
        <v>0.024822695035460994</v>
      </c>
      <c r="R55" s="74">
        <f t="shared" si="24"/>
        <v>0.02369816027439975</v>
      </c>
      <c r="S55" s="74">
        <f t="shared" si="24"/>
        <v>0.023514851485148515</v>
      </c>
      <c r="T55" s="74">
        <f t="shared" si="24"/>
        <v>0.02205653929791861</v>
      </c>
      <c r="U55" s="74">
        <f t="shared" si="24"/>
        <v>0.023191094619666047</v>
      </c>
      <c r="V55" s="74">
        <f t="shared" si="24"/>
        <v>0.021659548505186088</v>
      </c>
      <c r="W55" s="74">
        <f t="shared" si="24"/>
        <v>0.022139070782662924</v>
      </c>
      <c r="X55" s="74">
        <f t="shared" si="24"/>
        <v>0.022025084123585194</v>
      </c>
      <c r="Y55" s="74">
        <f t="shared" si="24"/>
        <v>0.02175226586102719</v>
      </c>
      <c r="Z55" s="74">
        <f t="shared" si="24"/>
        <v>0.022339435308718587</v>
      </c>
      <c r="AA55" s="74">
        <f t="shared" si="24"/>
        <v>0.02480192903892525</v>
      </c>
      <c r="AB55" s="74">
        <f t="shared" si="24"/>
        <v>0.023109243697478993</v>
      </c>
      <c r="AC55" s="74">
        <f t="shared" si="24"/>
        <v>0.023488773747841106</v>
      </c>
      <c r="AD55" s="74">
        <f t="shared" si="24"/>
        <v>0.023084994753410283</v>
      </c>
      <c r="AE55" s="74">
        <f t="shared" si="24"/>
        <v>0.025008931761343337</v>
      </c>
      <c r="AF55" s="74">
        <f t="shared" si="24"/>
        <v>0.02584637786676374</v>
      </c>
      <c r="AG55" s="74">
        <f t="shared" si="24"/>
        <v>0.025349008082292433</v>
      </c>
      <c r="AH55" s="74">
        <f t="shared" si="24"/>
        <v>0.02401129943502825</v>
      </c>
      <c r="AI55" s="74">
        <f t="shared" si="24"/>
        <v>0.02361111111111111</v>
      </c>
      <c r="AJ55" s="74">
        <f t="shared" si="24"/>
        <v>0.025053686471009307</v>
      </c>
      <c r="AK55" s="74">
        <f t="shared" si="24"/>
        <v>0.02527075812274368</v>
      </c>
      <c r="AL55" s="74">
        <f t="shared" si="24"/>
        <v>0.024616482340349626</v>
      </c>
      <c r="AM55" s="74">
        <f t="shared" si="24"/>
        <v>0.025603326256192497</v>
      </c>
      <c r="AN55" s="74">
        <f t="shared" si="24"/>
        <v>0.025319594763451813</v>
      </c>
      <c r="AO55" s="74">
        <f t="shared" si="24"/>
        <v>0.02388720318862952</v>
      </c>
      <c r="AP55" s="74">
        <f t="shared" si="24"/>
        <v>0.023718102275657297</v>
      </c>
      <c r="AQ55" s="74">
        <f t="shared" si="24"/>
        <v>0.022439937164456754</v>
      </c>
      <c r="AR55" s="74">
        <f t="shared" si="24"/>
        <v>0.022909966007555193</v>
      </c>
      <c r="AS55" s="74">
        <f t="shared" si="24"/>
        <v>0.02311006227499063</v>
      </c>
      <c r="AT55" s="74">
        <f t="shared" si="24"/>
        <v>0.022866993032385936</v>
      </c>
      <c r="AU55" s="74">
        <f t="shared" si="24"/>
        <v>0.023143126605691573</v>
      </c>
      <c r="AV55" s="74">
        <f t="shared" si="24"/>
        <v>0.02235025384388374</v>
      </c>
      <c r="AW55" s="74">
        <f t="shared" si="24"/>
        <v>0.022628224227429924</v>
      </c>
      <c r="AX55" s="74">
        <f t="shared" si="24"/>
        <v>0.023330103231796233</v>
      </c>
    </row>
    <row r="56" spans="1:50" ht="12.75">
      <c r="A56" s="14" t="s">
        <v>204</v>
      </c>
      <c r="B56" s="74">
        <f>B23/(B22+B14)</f>
        <v>0.2397590361445783</v>
      </c>
      <c r="C56" s="74">
        <f aca="true" t="shared" si="25" ref="C56:AX56">C23/(C22+C14)</f>
        <v>0.22860492379835873</v>
      </c>
      <c r="D56" s="74">
        <f t="shared" si="25"/>
        <v>0.22591743119266056</v>
      </c>
      <c r="E56" s="74">
        <f t="shared" si="25"/>
        <v>0.2182628062360802</v>
      </c>
      <c r="F56" s="74">
        <f t="shared" si="25"/>
        <v>0.20887445887445888</v>
      </c>
      <c r="G56" s="74">
        <f t="shared" si="25"/>
        <v>0.20020964360587</v>
      </c>
      <c r="H56" s="74">
        <f t="shared" si="25"/>
        <v>0.19772256728778467</v>
      </c>
      <c r="I56" s="74">
        <f t="shared" si="25"/>
        <v>0.18712273641851107</v>
      </c>
      <c r="J56" s="74">
        <f t="shared" si="25"/>
        <v>0.18762278978389</v>
      </c>
      <c r="K56" s="74">
        <f t="shared" si="25"/>
        <v>0.17897727272727273</v>
      </c>
      <c r="L56" s="74">
        <f t="shared" si="25"/>
        <v>0.19881889763779528</v>
      </c>
      <c r="M56" s="74">
        <f t="shared" si="25"/>
        <v>0.2</v>
      </c>
      <c r="N56" s="74">
        <f t="shared" si="25"/>
        <v>0.19785575048732942</v>
      </c>
      <c r="O56" s="74">
        <f t="shared" si="25"/>
        <v>0.2020972354623451</v>
      </c>
      <c r="P56" s="74">
        <f t="shared" si="25"/>
        <v>0.2045889101338432</v>
      </c>
      <c r="Q56" s="74">
        <f t="shared" si="25"/>
        <v>0.20961538461538462</v>
      </c>
      <c r="R56" s="74">
        <f t="shared" si="25"/>
        <v>0.21414728682170542</v>
      </c>
      <c r="S56" s="74">
        <f t="shared" si="25"/>
        <v>0.21743388834476005</v>
      </c>
      <c r="T56" s="74">
        <f t="shared" si="25"/>
        <v>0.21782178217821782</v>
      </c>
      <c r="U56" s="74">
        <f t="shared" si="25"/>
        <v>0.2178714859437751</v>
      </c>
      <c r="V56" s="74">
        <f t="shared" si="25"/>
        <v>0.21330724070450097</v>
      </c>
      <c r="W56" s="74">
        <f t="shared" si="25"/>
        <v>0.21951219512195122</v>
      </c>
      <c r="X56" s="74">
        <f t="shared" si="25"/>
        <v>0.2099391480730223</v>
      </c>
      <c r="Y56" s="74">
        <f t="shared" si="25"/>
        <v>0.20426829268292682</v>
      </c>
      <c r="Z56" s="74">
        <f t="shared" si="25"/>
        <v>0.20395421436004163</v>
      </c>
      <c r="AA56" s="74">
        <f t="shared" si="25"/>
        <v>0.20498915401301518</v>
      </c>
      <c r="AB56" s="74">
        <f t="shared" si="25"/>
        <v>0.20412595005428882</v>
      </c>
      <c r="AC56" s="74">
        <f t="shared" si="25"/>
        <v>0.20493562231759657</v>
      </c>
      <c r="AD56" s="74">
        <f t="shared" si="25"/>
        <v>0.20372398685651696</v>
      </c>
      <c r="AE56" s="74">
        <f t="shared" si="25"/>
        <v>0.20636663007683864</v>
      </c>
      <c r="AF56" s="74">
        <f t="shared" si="25"/>
        <v>0.2050438596491228</v>
      </c>
      <c r="AG56" s="74">
        <f t="shared" si="25"/>
        <v>0.20532741398446172</v>
      </c>
      <c r="AH56" s="74">
        <f t="shared" si="25"/>
        <v>0.20270270270270271</v>
      </c>
      <c r="AI56" s="74">
        <f t="shared" si="25"/>
        <v>0.1986455981941309</v>
      </c>
      <c r="AJ56" s="74">
        <f t="shared" si="25"/>
        <v>0.20022883295194507</v>
      </c>
      <c r="AK56" s="74">
        <f t="shared" si="25"/>
        <v>0.20138089758342922</v>
      </c>
      <c r="AL56" s="74">
        <f t="shared" si="25"/>
        <v>0.2006841505131129</v>
      </c>
      <c r="AM56" s="74">
        <f t="shared" si="25"/>
        <v>0.19868163253775212</v>
      </c>
      <c r="AN56" s="74">
        <f t="shared" si="25"/>
        <v>0.20539070041734778</v>
      </c>
      <c r="AO56" s="74">
        <f t="shared" si="25"/>
        <v>0.21195958125896042</v>
      </c>
      <c r="AP56" s="74">
        <f t="shared" si="25"/>
        <v>0.20605530641699535</v>
      </c>
      <c r="AQ56" s="74">
        <f t="shared" si="25"/>
        <v>0.19688457597536155</v>
      </c>
      <c r="AR56" s="74">
        <f t="shared" si="25"/>
        <v>0.18831189637162038</v>
      </c>
      <c r="AS56" s="74">
        <f t="shared" si="25"/>
        <v>0.1843325240656122</v>
      </c>
      <c r="AT56" s="74">
        <f t="shared" si="25"/>
        <v>0.17221869016639918</v>
      </c>
      <c r="AU56" s="74">
        <f t="shared" si="25"/>
        <v>0.17039708819359395</v>
      </c>
      <c r="AV56" s="74">
        <f t="shared" si="25"/>
        <v>0.16907263236771106</v>
      </c>
      <c r="AW56" s="74">
        <f t="shared" si="25"/>
        <v>0.17203718948251975</v>
      </c>
      <c r="AX56" s="74">
        <f t="shared" si="25"/>
        <v>0.17784030168651677</v>
      </c>
    </row>
    <row r="57" spans="1:50" ht="12.75">
      <c r="A57" s="14" t="s">
        <v>205</v>
      </c>
      <c r="B57" s="74">
        <f>B24/B7</f>
        <v>0.038583929992044554</v>
      </c>
      <c r="C57" s="74">
        <f aca="true" t="shared" si="26" ref="C57:AX57">C24/C7</f>
        <v>0.03914728682170543</v>
      </c>
      <c r="D57" s="74">
        <f t="shared" si="26"/>
        <v>0.03394459617635583</v>
      </c>
      <c r="E57" s="74">
        <f t="shared" si="26"/>
        <v>0.03106060606060606</v>
      </c>
      <c r="F57" s="74">
        <f t="shared" si="26"/>
        <v>0.02636464909023394</v>
      </c>
      <c r="G57" s="74">
        <f t="shared" si="26"/>
        <v>0.024506217995610827</v>
      </c>
      <c r="H57" s="74">
        <f t="shared" si="26"/>
        <v>0.024813052345343305</v>
      </c>
      <c r="I57" s="74">
        <f t="shared" si="26"/>
        <v>0.02464788732394366</v>
      </c>
      <c r="J57" s="74">
        <f t="shared" si="26"/>
        <v>0.024381868131868132</v>
      </c>
      <c r="K57" s="74">
        <f t="shared" si="26"/>
        <v>0.025914093006744764</v>
      </c>
      <c r="L57" s="74">
        <f t="shared" si="26"/>
        <v>0.024070796460176992</v>
      </c>
      <c r="M57" s="74">
        <f t="shared" si="26"/>
        <v>0.02049322681486627</v>
      </c>
      <c r="N57" s="74">
        <f t="shared" si="26"/>
        <v>0.01861797350519155</v>
      </c>
      <c r="O57" s="74">
        <f t="shared" si="26"/>
        <v>0.016629357211384713</v>
      </c>
      <c r="P57" s="74">
        <f t="shared" si="26"/>
        <v>0.020446681346335326</v>
      </c>
      <c r="Q57" s="74">
        <f t="shared" si="26"/>
        <v>0.02611218568665377</v>
      </c>
      <c r="R57" s="74">
        <f t="shared" si="26"/>
        <v>0.029934518241347054</v>
      </c>
      <c r="S57" s="74">
        <f t="shared" si="26"/>
        <v>0.03155940594059406</v>
      </c>
      <c r="T57" s="74">
        <f t="shared" si="26"/>
        <v>0.030444237340789066</v>
      </c>
      <c r="U57" s="74">
        <f t="shared" si="26"/>
        <v>0.032467532467532464</v>
      </c>
      <c r="V57" s="74">
        <f t="shared" si="26"/>
        <v>0.03050640634533252</v>
      </c>
      <c r="W57" s="74">
        <f t="shared" si="26"/>
        <v>0.03086997193638915</v>
      </c>
      <c r="X57" s="74">
        <f t="shared" si="26"/>
        <v>0.03303762618537779</v>
      </c>
      <c r="Y57" s="74">
        <f t="shared" si="26"/>
        <v>0.03444108761329305</v>
      </c>
      <c r="Z57" s="74">
        <f t="shared" si="26"/>
        <v>0.04219671113869066</v>
      </c>
      <c r="AA57" s="74">
        <f t="shared" si="26"/>
        <v>0.04891491560454702</v>
      </c>
      <c r="AB57" s="74">
        <f t="shared" si="26"/>
        <v>0.05182072829131653</v>
      </c>
      <c r="AC57" s="74">
        <f t="shared" si="26"/>
        <v>0.04732297063903282</v>
      </c>
      <c r="AD57" s="74">
        <f t="shared" si="26"/>
        <v>0.04407135362014691</v>
      </c>
      <c r="AE57" s="74">
        <f t="shared" si="26"/>
        <v>0.04287245444801715</v>
      </c>
      <c r="AF57" s="74">
        <f t="shared" si="26"/>
        <v>0.0444120859119039</v>
      </c>
      <c r="AG57" s="74">
        <f t="shared" si="26"/>
        <v>0.04886113152094049</v>
      </c>
      <c r="AH57" s="74">
        <f t="shared" si="26"/>
        <v>0.046610169491525424</v>
      </c>
      <c r="AI57" s="74">
        <f t="shared" si="26"/>
        <v>0.04756944444444444</v>
      </c>
      <c r="AJ57" s="74">
        <f t="shared" si="26"/>
        <v>0.048317823908375086</v>
      </c>
      <c r="AK57" s="74">
        <f t="shared" si="26"/>
        <v>0.053429602888086646</v>
      </c>
      <c r="AL57" s="74">
        <f t="shared" si="26"/>
        <v>0.04816268283981449</v>
      </c>
      <c r="AM57" s="74">
        <f t="shared" si="26"/>
        <v>0.04676008492569002</v>
      </c>
      <c r="AN57" s="74">
        <f t="shared" si="26"/>
        <v>0.04696130260097272</v>
      </c>
      <c r="AO57" s="74">
        <f t="shared" si="26"/>
        <v>0.04875698078746795</v>
      </c>
      <c r="AP57" s="74">
        <f t="shared" si="26"/>
        <v>0.04963596523124888</v>
      </c>
      <c r="AQ57" s="74">
        <f t="shared" si="26"/>
        <v>0.05289638962674498</v>
      </c>
      <c r="AR57" s="74">
        <f t="shared" si="26"/>
        <v>0.053725639787149074</v>
      </c>
      <c r="AS57" s="74">
        <f t="shared" si="26"/>
        <v>0.050713952670704075</v>
      </c>
      <c r="AT57" s="74">
        <f t="shared" si="26"/>
        <v>0.05129605860925392</v>
      </c>
      <c r="AU57" s="74">
        <f t="shared" si="26"/>
        <v>0.05086717996298994</v>
      </c>
      <c r="AV57" s="74">
        <f t="shared" si="26"/>
        <v>0.05180214306762509</v>
      </c>
      <c r="AW57" s="74">
        <f t="shared" si="26"/>
        <v>0.048688763624315595</v>
      </c>
      <c r="AX57" s="74">
        <f t="shared" si="26"/>
        <v>0.04826394704632426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47"/>
  <sheetViews>
    <sheetView zoomScale="130" zoomScaleNormal="130" zoomScalePageLayoutView="0" workbookViewId="0" topLeftCell="A1">
      <pane xSplit="1" ySplit="6" topLeftCell="AU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U17" sqref="AU17"/>
    </sheetView>
  </sheetViews>
  <sheetFormatPr defaultColWidth="9.140625" defaultRowHeight="12.75"/>
  <cols>
    <col min="1" max="1" width="34.421875" style="5" bestFit="1" customWidth="1"/>
    <col min="2" max="2" width="11.8515625" style="5" bestFit="1" customWidth="1"/>
    <col min="3" max="3" width="12.28125" style="5" bestFit="1" customWidth="1"/>
    <col min="4" max="4" width="12.00390625" style="5" bestFit="1" customWidth="1"/>
    <col min="5" max="5" width="11.8515625" style="5" bestFit="1" customWidth="1"/>
    <col min="6" max="6" width="11.00390625" style="5" bestFit="1" customWidth="1"/>
    <col min="7" max="7" width="12.28125" style="5" bestFit="1" customWidth="1"/>
    <col min="8" max="9" width="11.421875" style="5" bestFit="1" customWidth="1"/>
    <col min="10" max="10" width="11.8515625" style="5" bestFit="1" customWidth="1"/>
    <col min="11" max="11" width="12.28125" style="5" bestFit="1" customWidth="1"/>
    <col min="12" max="12" width="12.7109375" style="5" bestFit="1" customWidth="1"/>
    <col min="13" max="13" width="12.421875" style="5" bestFit="1" customWidth="1"/>
    <col min="14" max="14" width="11.8515625" style="5" bestFit="1" customWidth="1"/>
    <col min="15" max="15" width="11.421875" style="5" bestFit="1" customWidth="1"/>
    <col min="16" max="17" width="11.8515625" style="5" bestFit="1" customWidth="1"/>
    <col min="18" max="18" width="12.28125" style="5" bestFit="1" customWidth="1"/>
    <col min="19" max="20" width="11.8515625" style="5" bestFit="1" customWidth="1"/>
    <col min="21" max="21" width="11.421875" style="5" bestFit="1" customWidth="1"/>
    <col min="22" max="22" width="11.8515625" style="5" bestFit="1" customWidth="1"/>
    <col min="23" max="23" width="12.00390625" style="5" bestFit="1" customWidth="1"/>
    <col min="24" max="24" width="12.7109375" style="5" bestFit="1" customWidth="1"/>
    <col min="25" max="25" width="12.28125" style="5" bestFit="1" customWidth="1"/>
    <col min="26" max="26" width="12.421875" style="5" bestFit="1" customWidth="1"/>
    <col min="27" max="27" width="12.28125" style="5" bestFit="1" customWidth="1"/>
    <col min="28" max="28" width="12.421875" style="5" bestFit="1" customWidth="1"/>
    <col min="29" max="29" width="11.8515625" style="5" bestFit="1" customWidth="1"/>
    <col min="30" max="31" width="11.421875" style="5" bestFit="1" customWidth="1"/>
    <col min="32" max="33" width="11.8515625" style="5" bestFit="1" customWidth="1"/>
    <col min="34" max="34" width="12.8515625" style="5" customWidth="1"/>
    <col min="35" max="35" width="11.8515625" style="5" bestFit="1" customWidth="1"/>
    <col min="36" max="36" width="13.140625" style="5" customWidth="1"/>
    <col min="37" max="38" width="11.8515625" style="5" bestFit="1" customWidth="1"/>
    <col min="39" max="40" width="12.421875" style="5" bestFit="1" customWidth="1"/>
    <col min="41" max="41" width="12.28125" style="5" bestFit="1" customWidth="1"/>
    <col min="42" max="45" width="12.421875" style="5" bestFit="1" customWidth="1"/>
    <col min="46" max="46" width="12.28125" style="5" bestFit="1" customWidth="1"/>
    <col min="47" max="48" width="12.421875" style="5" bestFit="1" customWidth="1"/>
    <col min="49" max="60" width="12.421875" style="5" customWidth="1"/>
    <col min="61" max="16384" width="11.421875" style="5" customWidth="1"/>
  </cols>
  <sheetData>
    <row r="1" ht="12.75">
      <c r="A1" s="71" t="str">
        <f>Dashboard!A2</f>
        <v>ABC Company</v>
      </c>
    </row>
    <row r="2" spans="1:93" ht="12.75">
      <c r="A2" s="5" t="s">
        <v>127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</row>
    <row r="3" spans="1:93" ht="12.75">
      <c r="A3" s="5" t="s">
        <v>113</v>
      </c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</row>
    <row r="4" spans="1:93" ht="12.75">
      <c r="A4" s="30" t="s">
        <v>196</v>
      </c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</row>
    <row r="5" spans="22:93" ht="12.75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6" t="s">
        <v>45</v>
      </c>
      <c r="AX5" s="6" t="s">
        <v>45</v>
      </c>
      <c r="AY5" s="6" t="s">
        <v>45</v>
      </c>
      <c r="AZ5" s="6" t="s">
        <v>45</v>
      </c>
      <c r="BA5" s="6" t="s">
        <v>45</v>
      </c>
      <c r="BB5" s="6" t="s">
        <v>45</v>
      </c>
      <c r="BC5" s="6" t="s">
        <v>45</v>
      </c>
      <c r="BD5" s="6" t="s">
        <v>45</v>
      </c>
      <c r="BE5" s="6" t="s">
        <v>45</v>
      </c>
      <c r="BF5" s="6" t="s">
        <v>45</v>
      </c>
      <c r="BG5" s="6" t="s">
        <v>45</v>
      </c>
      <c r="BH5" s="6" t="s">
        <v>45</v>
      </c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2:93" ht="12.75">
      <c r="B6" s="6" t="str">
        <f>'BS'!C5</f>
        <v>2008-02</v>
      </c>
      <c r="C6" s="6" t="str">
        <f>'BS'!D5</f>
        <v>2008-03</v>
      </c>
      <c r="D6" s="6" t="str">
        <f>'BS'!E5</f>
        <v>2008-04</v>
      </c>
      <c r="E6" s="6" t="str">
        <f>'BS'!F5</f>
        <v>2008-05</v>
      </c>
      <c r="F6" s="6" t="str">
        <f>'BS'!G5</f>
        <v>2008-06</v>
      </c>
      <c r="G6" s="6" t="str">
        <f>'BS'!H5</f>
        <v>2008-07</v>
      </c>
      <c r="H6" s="6" t="str">
        <f>'BS'!I5</f>
        <v>2008-08</v>
      </c>
      <c r="I6" s="6" t="str">
        <f>'BS'!J5</f>
        <v>2008-09</v>
      </c>
      <c r="J6" s="6" t="str">
        <f>'BS'!K5</f>
        <v>2008-10</v>
      </c>
      <c r="K6" s="6" t="str">
        <f>'BS'!L5</f>
        <v>2008-11</v>
      </c>
      <c r="L6" s="6" t="str">
        <f>'BS'!M5</f>
        <v>2008-12</v>
      </c>
      <c r="M6" s="6" t="str">
        <f>'BS'!N5</f>
        <v>2009-01</v>
      </c>
      <c r="N6" s="6" t="str">
        <f>'BS'!O5</f>
        <v>2009-02</v>
      </c>
      <c r="O6" s="6" t="str">
        <f>'BS'!P5</f>
        <v>2009-03</v>
      </c>
      <c r="P6" s="6" t="str">
        <f>'BS'!Q5</f>
        <v>2009-04</v>
      </c>
      <c r="Q6" s="6" t="str">
        <f>'BS'!R5</f>
        <v>2009-05</v>
      </c>
      <c r="R6" s="6" t="str">
        <f>'BS'!S5</f>
        <v>2009-06</v>
      </c>
      <c r="S6" s="6" t="str">
        <f>'BS'!T5</f>
        <v>2009-07</v>
      </c>
      <c r="T6" s="6" t="str">
        <f>'BS'!U5</f>
        <v>2009-08</v>
      </c>
      <c r="U6" s="6" t="str">
        <f>'BS'!V5</f>
        <v>2009-09</v>
      </c>
      <c r="V6" s="6" t="str">
        <f>'BS'!W5</f>
        <v>2009-10</v>
      </c>
      <c r="W6" s="6" t="str">
        <f>'BS'!X5</f>
        <v>2009-11</v>
      </c>
      <c r="X6" s="6" t="str">
        <f>'BS'!Y5</f>
        <v>2009-12</v>
      </c>
      <c r="Y6" s="6" t="str">
        <f>'BS'!Z5</f>
        <v>2010-01</v>
      </c>
      <c r="Z6" s="6" t="str">
        <f>'BS'!AA5</f>
        <v>2010-02</v>
      </c>
      <c r="AA6" s="6" t="str">
        <f>'BS'!AB5</f>
        <v>2010-03</v>
      </c>
      <c r="AB6" s="6" t="str">
        <f>'BS'!AC5</f>
        <v>2010-04</v>
      </c>
      <c r="AC6" s="6" t="str">
        <f>'BS'!AD5</f>
        <v>2010-05</v>
      </c>
      <c r="AD6" s="6" t="str">
        <f>'BS'!AE5</f>
        <v>2010-06</v>
      </c>
      <c r="AE6" s="6" t="str">
        <f>'BS'!AF5</f>
        <v>2010-07</v>
      </c>
      <c r="AF6" s="6" t="str">
        <f>'BS'!AG5</f>
        <v>2010-08</v>
      </c>
      <c r="AG6" s="6" t="str">
        <f>'BS'!AH5</f>
        <v>2010-09</v>
      </c>
      <c r="AH6" s="6" t="str">
        <f>'BS'!AI5</f>
        <v>2010-10</v>
      </c>
      <c r="AI6" s="6" t="str">
        <f>'BS'!AJ5</f>
        <v>2010-11</v>
      </c>
      <c r="AJ6" s="6" t="str">
        <f>'BS'!AK5</f>
        <v>2010-12</v>
      </c>
      <c r="AK6" s="6" t="str">
        <f>'BS'!AL5</f>
        <v>2011-01</v>
      </c>
      <c r="AL6" s="6" t="str">
        <f>'BS'!AM5</f>
        <v>2011-02</v>
      </c>
      <c r="AM6" s="6" t="str">
        <f>'BS'!AN5</f>
        <v>2011-03</v>
      </c>
      <c r="AN6" s="6" t="str">
        <f>'BS'!AO5</f>
        <v>2011-04</v>
      </c>
      <c r="AO6" s="6" t="str">
        <f>'BS'!AP5</f>
        <v>2011-05</v>
      </c>
      <c r="AP6" s="6" t="str">
        <f>'BS'!AQ5</f>
        <v>2011-06</v>
      </c>
      <c r="AQ6" s="6" t="str">
        <f>'BS'!AR5</f>
        <v>2011-07</v>
      </c>
      <c r="AR6" s="6" t="str">
        <f>'BS'!AS5</f>
        <v>2011-08</v>
      </c>
      <c r="AS6" s="6" t="str">
        <f>'BS'!AT5</f>
        <v>2011-09</v>
      </c>
      <c r="AT6" s="6" t="str">
        <f>'BS'!AU5</f>
        <v>2011-10</v>
      </c>
      <c r="AU6" s="6" t="str">
        <f>'BS'!AV5</f>
        <v>2011-11</v>
      </c>
      <c r="AV6" s="6" t="str">
        <f>'BS'!AW5</f>
        <v>2011-12</v>
      </c>
      <c r="AW6" s="6" t="str">
        <f>'BS'!AX5</f>
        <v>2012-01</v>
      </c>
      <c r="AX6" s="6" t="str">
        <f>'BS'!AY5</f>
        <v>2012-02</v>
      </c>
      <c r="AY6" s="6" t="str">
        <f>'BS'!AZ5</f>
        <v>2012-03</v>
      </c>
      <c r="AZ6" s="6" t="str">
        <f>'BS'!BA5</f>
        <v>2012-04</v>
      </c>
      <c r="BA6" s="6" t="str">
        <f>'BS'!BB5</f>
        <v>2012-05</v>
      </c>
      <c r="BB6" s="6" t="str">
        <f>'BS'!BC5</f>
        <v>2012-06</v>
      </c>
      <c r="BC6" s="6" t="str">
        <f>'BS'!BD5</f>
        <v>2012-07</v>
      </c>
      <c r="BD6" s="6" t="str">
        <f>'BS'!BE5</f>
        <v>2012-08</v>
      </c>
      <c r="BE6" s="6" t="str">
        <f>'BS'!BF5</f>
        <v>2012-09</v>
      </c>
      <c r="BF6" s="6" t="str">
        <f>'BS'!BG5</f>
        <v>2012-10</v>
      </c>
      <c r="BG6" s="6" t="str">
        <f>'BS'!BH5</f>
        <v>2012-11</v>
      </c>
      <c r="BH6" s="6" t="str">
        <f>'BS'!BI5</f>
        <v>2012-12</v>
      </c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</row>
    <row r="7" spans="1:93" ht="12.75">
      <c r="A7" s="19" t="s">
        <v>66</v>
      </c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</row>
    <row r="8" spans="1:93" ht="12.75">
      <c r="A8" s="1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</row>
    <row r="9" spans="1:93" ht="12.75">
      <c r="A9" s="21" t="s">
        <v>1</v>
      </c>
      <c r="B9" s="5">
        <f>'PL by Month'!C37</f>
        <v>-11963</v>
      </c>
      <c r="C9" s="5">
        <f>'PL by Month'!D37</f>
        <v>-99945</v>
      </c>
      <c r="D9" s="5">
        <f>'PL by Month'!E37</f>
        <v>-37922</v>
      </c>
      <c r="E9" s="5">
        <f>'PL by Month'!F37</f>
        <v>15107</v>
      </c>
      <c r="F9" s="5">
        <f>'PL by Month'!G37</f>
        <v>-62875</v>
      </c>
      <c r="G9" s="5">
        <f>'PL by Month'!H37</f>
        <v>141985</v>
      </c>
      <c r="H9" s="5">
        <f>'PL by Month'!I37</f>
        <v>-42986</v>
      </c>
      <c r="I9" s="5">
        <f>'PL by Month'!J37</f>
        <v>94980</v>
      </c>
      <c r="J9" s="5">
        <f>'PL by Month'!K37</f>
        <v>33839</v>
      </c>
      <c r="K9" s="5">
        <f>'PL by Month'!L37</f>
        <v>-102293</v>
      </c>
      <c r="L9" s="5">
        <f>'PL by Month'!M37</f>
        <v>127483</v>
      </c>
      <c r="M9" s="5">
        <f>'PL by Month'!N37</f>
        <v>2140</v>
      </c>
      <c r="N9" s="5">
        <f>'PL by Month'!O37</f>
        <v>-43831</v>
      </c>
      <c r="O9" s="5">
        <f>'PL by Month'!P37</f>
        <v>-14802</v>
      </c>
      <c r="P9" s="5">
        <f>'PL by Month'!Q37</f>
        <v>-34204</v>
      </c>
      <c r="Q9" s="5">
        <f>'PL by Month'!R37</f>
        <v>49807</v>
      </c>
      <c r="R9" s="5">
        <f>'PL by Month'!S37</f>
        <v>83848</v>
      </c>
      <c r="S9" s="5">
        <f>'PL by Month'!T37</f>
        <v>11895</v>
      </c>
      <c r="T9" s="5">
        <f>'PL by Month'!U37</f>
        <v>-1064</v>
      </c>
      <c r="U9" s="5">
        <f>'PL by Month'!V37</f>
        <v>-22018</v>
      </c>
      <c r="V9" s="5">
        <f>'PL by Month'!W37</f>
        <v>65872</v>
      </c>
      <c r="W9" s="5">
        <f>'PL by Month'!X37</f>
        <v>20912</v>
      </c>
      <c r="X9" s="5">
        <f>'PL by Month'!Y37</f>
        <v>-22391</v>
      </c>
      <c r="Y9" s="5">
        <f>'PL by Month'!Z37</f>
        <v>165006</v>
      </c>
      <c r="Z9" s="5">
        <f>'PL by Month'!AA37</f>
        <v>-22948</v>
      </c>
      <c r="AA9" s="5">
        <f>'PL by Month'!AB37</f>
        <v>-253901</v>
      </c>
      <c r="AB9" s="5">
        <f>'PL by Month'!AC37</f>
        <v>23146</v>
      </c>
      <c r="AC9" s="5">
        <f>'PL by Month'!AD37</f>
        <v>42743</v>
      </c>
      <c r="AD9" s="5">
        <f>'PL by Month'!AE37</f>
        <v>106796</v>
      </c>
      <c r="AE9" s="5">
        <f>'PL by Month'!AF37</f>
        <v>26954</v>
      </c>
      <c r="AF9" s="5">
        <f>'PL by Month'!AG37</f>
        <v>20982</v>
      </c>
      <c r="AG9" s="5">
        <f>'PL by Month'!AH37</f>
        <v>-27035</v>
      </c>
      <c r="AH9" s="5">
        <f>'PL by Month'!AI37</f>
        <v>139023</v>
      </c>
      <c r="AI9" s="5">
        <f>'PL by Month'!AJ37</f>
        <v>31076</v>
      </c>
      <c r="AJ9" s="5">
        <f>'PL by Month'!AK37</f>
        <v>-18866</v>
      </c>
      <c r="AK9" s="5">
        <f>'PL by Month'!AL37</f>
        <v>49192</v>
      </c>
      <c r="AL9" s="5">
        <f>'PL by Month'!AM37</f>
        <v>-41749</v>
      </c>
      <c r="AM9" s="5">
        <f>'PL by Month'!AN37</f>
        <v>-93691</v>
      </c>
      <c r="AN9" s="5">
        <f>'PL by Month'!AO37</f>
        <v>83239</v>
      </c>
      <c r="AO9" s="5">
        <f>'PL by Month'!AP37</f>
        <v>-9691</v>
      </c>
      <c r="AP9" s="5">
        <f>'PL by Month'!AQ37</f>
        <v>69373</v>
      </c>
      <c r="AQ9" s="5">
        <f>'PL by Month'!AR37</f>
        <v>34437</v>
      </c>
      <c r="AR9" s="5">
        <f>'PL by Month'!AS37</f>
        <v>136502</v>
      </c>
      <c r="AS9" s="5">
        <f>'PL by Month'!AT37</f>
        <v>-2434</v>
      </c>
      <c r="AT9" s="5">
        <f>'PL by Month'!AU37</f>
        <v>68630</v>
      </c>
      <c r="AU9" s="5">
        <f>'PL by Month'!AV37</f>
        <v>20490</v>
      </c>
      <c r="AV9" s="5">
        <f>'PL by Month'!AW37</f>
        <v>14414</v>
      </c>
      <c r="AW9" s="5">
        <f>'PL by Month'!AX37</f>
        <v>30240.124522536298</v>
      </c>
      <c r="AX9" s="5">
        <f>'PL by Month'!AY37</f>
        <v>-13632.829779845819</v>
      </c>
      <c r="AY9" s="5">
        <f>'PL by Month'!AZ37</f>
        <v>-22699.22606999223</v>
      </c>
      <c r="AZ9" s="5">
        <f>'PL by Month'!BA37</f>
        <v>50518.65864938967</v>
      </c>
      <c r="BA9" s="5">
        <f>'PL by Month'!BB37</f>
        <v>45464.36482148848</v>
      </c>
      <c r="BB9" s="5">
        <f>'PL by Month'!BC37</f>
        <v>67850.21846072238</v>
      </c>
      <c r="BC9" s="5">
        <f>'PL by Month'!BD37</f>
        <v>45717.2490159752</v>
      </c>
      <c r="BD9" s="5">
        <f>'PL by Month'!BE37</f>
        <v>107189.23498457801</v>
      </c>
      <c r="BE9" s="5">
        <f>'PL by Month'!BF37</f>
        <v>28690.831595093492</v>
      </c>
      <c r="BF9" s="5">
        <f>'PL by Month'!BG37</f>
        <v>46242.8781648537</v>
      </c>
      <c r="BG9" s="5">
        <f>'PL by Month'!BH37</f>
        <v>18327.15815081064</v>
      </c>
      <c r="BH9" s="5">
        <f>'PL by Month'!BI37</f>
        <v>-2892.249167794073</v>
      </c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</row>
    <row r="10" spans="1:93" ht="12.75">
      <c r="A10" s="21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</row>
    <row r="11" ht="12.75">
      <c r="A11" s="20" t="s">
        <v>67</v>
      </c>
    </row>
    <row r="12" spans="1:60" ht="12.75">
      <c r="A12" s="22" t="s">
        <v>68</v>
      </c>
      <c r="B12" s="5">
        <f>-'PL by Month'!C32</f>
        <v>11500</v>
      </c>
      <c r="C12" s="5">
        <f>-'PL by Month'!D32</f>
        <v>11500</v>
      </c>
      <c r="D12" s="5">
        <f>-'PL by Month'!E32</f>
        <v>11500</v>
      </c>
      <c r="E12" s="5">
        <f>-'PL by Month'!F32</f>
        <v>11500</v>
      </c>
      <c r="F12" s="5">
        <f>-'PL by Month'!G32</f>
        <v>11500</v>
      </c>
      <c r="G12" s="5">
        <f>-'PL by Month'!H32</f>
        <v>11500</v>
      </c>
      <c r="H12" s="5">
        <f>-'PL by Month'!I32</f>
        <v>11500</v>
      </c>
      <c r="I12" s="5">
        <f>-'PL by Month'!J32</f>
        <v>11500</v>
      </c>
      <c r="J12" s="5">
        <f>-'PL by Month'!K32</f>
        <v>11500</v>
      </c>
      <c r="K12" s="5">
        <f>-'PL by Month'!L32</f>
        <v>11500</v>
      </c>
      <c r="L12" s="5">
        <f>-'PL by Month'!M32</f>
        <v>11500</v>
      </c>
      <c r="M12" s="5">
        <f>-'PL by Month'!N32</f>
        <v>8100</v>
      </c>
      <c r="N12" s="5">
        <f>-'PL by Month'!O32</f>
        <v>8100</v>
      </c>
      <c r="O12" s="5">
        <f>-'PL by Month'!P32</f>
        <v>8100</v>
      </c>
      <c r="P12" s="5">
        <f>-'PL by Month'!Q32</f>
        <v>8100</v>
      </c>
      <c r="Q12" s="5">
        <f>-'PL by Month'!R32</f>
        <v>8100</v>
      </c>
      <c r="R12" s="5">
        <f>-'PL by Month'!S32</f>
        <v>8100</v>
      </c>
      <c r="S12" s="5">
        <f>-'PL by Month'!T32</f>
        <v>8100</v>
      </c>
      <c r="T12" s="5">
        <f>-'PL by Month'!U32</f>
        <v>8100</v>
      </c>
      <c r="U12" s="5">
        <f>-'PL by Month'!V32</f>
        <v>8100</v>
      </c>
      <c r="V12" s="5">
        <f>-'PL by Month'!W32</f>
        <v>8100</v>
      </c>
      <c r="W12" s="5">
        <f>-'PL by Month'!X32</f>
        <v>8100</v>
      </c>
      <c r="X12" s="5">
        <f>-'PL by Month'!Y32</f>
        <v>8100</v>
      </c>
      <c r="Y12" s="5">
        <f>-'PL by Month'!Z32</f>
        <v>12100</v>
      </c>
      <c r="Z12" s="5">
        <f>-'PL by Month'!AA32</f>
        <v>12100</v>
      </c>
      <c r="AA12" s="5">
        <f>-'PL by Month'!AB32</f>
        <v>12100</v>
      </c>
      <c r="AB12" s="5">
        <f>-'PL by Month'!AC32</f>
        <v>12100</v>
      </c>
      <c r="AC12" s="5">
        <f>-'PL by Month'!AD32</f>
        <v>12100</v>
      </c>
      <c r="AD12" s="5">
        <f>-'PL by Month'!AE32</f>
        <v>12100</v>
      </c>
      <c r="AE12" s="5">
        <f>-'PL by Month'!AF32</f>
        <v>12100</v>
      </c>
      <c r="AF12" s="5">
        <f>-'PL by Month'!AG32</f>
        <v>12100</v>
      </c>
      <c r="AG12" s="5">
        <f>-'PL by Month'!AH32</f>
        <v>12100</v>
      </c>
      <c r="AH12" s="5">
        <f>-'PL by Month'!AI32</f>
        <v>12100</v>
      </c>
      <c r="AI12" s="5">
        <f>-'PL by Month'!AJ32</f>
        <v>12100</v>
      </c>
      <c r="AJ12" s="5">
        <f>-'PL by Month'!AK32</f>
        <v>12100</v>
      </c>
      <c r="AK12" s="5">
        <f>-'PL by Month'!AL32</f>
        <v>2100</v>
      </c>
      <c r="AL12" s="5">
        <f>-'PL by Month'!AM32</f>
        <v>2100</v>
      </c>
      <c r="AM12" s="5">
        <f>-'PL by Month'!AN32</f>
        <v>2100</v>
      </c>
      <c r="AN12" s="5">
        <f>-'PL by Month'!AO32</f>
        <v>2100</v>
      </c>
      <c r="AO12" s="5">
        <f>-'PL by Month'!AP32</f>
        <v>2100</v>
      </c>
      <c r="AP12" s="5">
        <f>-'PL by Month'!AQ32</f>
        <v>2100</v>
      </c>
      <c r="AQ12" s="5">
        <f>-'PL by Month'!AR32</f>
        <v>2100</v>
      </c>
      <c r="AR12" s="5">
        <f>-'PL by Month'!AS32</f>
        <v>2100</v>
      </c>
      <c r="AS12" s="5">
        <f>-'PL by Month'!AT32</f>
        <v>2100</v>
      </c>
      <c r="AT12" s="5">
        <f>-'PL by Month'!AU32</f>
        <v>2100</v>
      </c>
      <c r="AU12" s="5">
        <f>-'PL by Month'!AV32</f>
        <v>2100</v>
      </c>
      <c r="AV12" s="5">
        <f>-'PL by Month'!AW32</f>
        <v>2100</v>
      </c>
      <c r="AW12" s="5">
        <f>-'PL by Month'!AX32</f>
        <v>2100</v>
      </c>
      <c r="AX12" s="5">
        <f>-'PL by Month'!AY32</f>
        <v>2100</v>
      </c>
      <c r="AY12" s="5">
        <f>-'PL by Month'!AZ32</f>
        <v>2100</v>
      </c>
      <c r="AZ12" s="5">
        <f>-'PL by Month'!BA32</f>
        <v>2100</v>
      </c>
      <c r="BA12" s="5">
        <f>-'PL by Month'!BB32</f>
        <v>2100</v>
      </c>
      <c r="BB12" s="5">
        <f>-'PL by Month'!BC32</f>
        <v>2100</v>
      </c>
      <c r="BC12" s="5">
        <f>-'PL by Month'!BD32</f>
        <v>2100</v>
      </c>
      <c r="BD12" s="5">
        <f>-'PL by Month'!BE32</f>
        <v>2100</v>
      </c>
      <c r="BE12" s="5">
        <f>-'PL by Month'!BF32</f>
        <v>2100</v>
      </c>
      <c r="BF12" s="5">
        <f>-'PL by Month'!BG32</f>
        <v>2100</v>
      </c>
      <c r="BG12" s="5">
        <f>-'PL by Month'!BH32</f>
        <v>2100</v>
      </c>
      <c r="BH12" s="5">
        <f>-'PL by Month'!BI32</f>
        <v>2100</v>
      </c>
    </row>
    <row r="13" ht="12.75">
      <c r="A13" s="20" t="s">
        <v>69</v>
      </c>
    </row>
    <row r="14" spans="1:60" ht="12.75">
      <c r="A14" s="21" t="s">
        <v>128</v>
      </c>
      <c r="B14" s="5">
        <f>'BS'!B9-'BS'!C9</f>
        <v>25000</v>
      </c>
      <c r="C14" s="5">
        <f>'BS'!C9-'BS'!D9</f>
        <v>85000</v>
      </c>
      <c r="D14" s="5">
        <f>'BS'!D9-'BS'!E9</f>
        <v>-55000</v>
      </c>
      <c r="E14" s="5">
        <f>'BS'!E9-'BS'!F9</f>
        <v>-70000</v>
      </c>
      <c r="F14" s="5">
        <f>'BS'!F9-'BS'!G9</f>
        <v>70000</v>
      </c>
      <c r="G14" s="5">
        <f>'BS'!G9-'BS'!H9</f>
        <v>-120000</v>
      </c>
      <c r="H14" s="5">
        <f>'BS'!H9-'BS'!I9</f>
        <v>40000</v>
      </c>
      <c r="I14" s="5">
        <f>'BS'!I9-'BS'!J9</f>
        <v>-75000</v>
      </c>
      <c r="J14" s="5">
        <f>'BS'!J9-'BS'!K9</f>
        <v>55000</v>
      </c>
      <c r="K14" s="5">
        <f>'BS'!K9-'BS'!L9</f>
        <v>90000</v>
      </c>
      <c r="L14" s="5">
        <f>'BS'!L9-'BS'!M9</f>
        <v>-140000</v>
      </c>
      <c r="M14" s="5">
        <f>'BS'!M9-'BS'!N9</f>
        <v>25000</v>
      </c>
      <c r="N14" s="5">
        <f>'BS'!N9-'BS'!O9</f>
        <v>105000</v>
      </c>
      <c r="O14" s="5">
        <f>'BS'!O9-'BS'!P9</f>
        <v>40000</v>
      </c>
      <c r="P14" s="5">
        <f>'BS'!P9-'BS'!Q9</f>
        <v>-40000</v>
      </c>
      <c r="Q14" s="5">
        <f>'BS'!Q9-'BS'!R9</f>
        <v>-70000</v>
      </c>
      <c r="R14" s="5">
        <f>'BS'!R9-'BS'!S9</f>
        <v>-105000</v>
      </c>
      <c r="S14" s="5">
        <f>'BS'!S9-'BS'!T9</f>
        <v>105000</v>
      </c>
      <c r="T14" s="5">
        <f>'BS'!T9-'BS'!U9</f>
        <v>-30000</v>
      </c>
      <c r="U14" s="5">
        <f>'BS'!U9-'BS'!V9</f>
        <v>25000</v>
      </c>
      <c r="V14" s="5">
        <f>'BS'!V9-'BS'!W9</f>
        <v>-15000</v>
      </c>
      <c r="W14" s="5">
        <f>'BS'!W9-'BS'!X9</f>
        <v>60000</v>
      </c>
      <c r="X14" s="5">
        <f>'BS'!X9-'BS'!Y9</f>
        <v>-105000</v>
      </c>
      <c r="Y14" s="5">
        <f>'BS'!Y9-'BS'!Z9</f>
        <v>-165000</v>
      </c>
      <c r="Z14" s="5">
        <f>'BS'!Z9-'BS'!AA9</f>
        <v>210000</v>
      </c>
      <c r="AA14" s="5">
        <f>'BS'!AA9-'BS'!AB9</f>
        <v>130000</v>
      </c>
      <c r="AB14" s="5">
        <f>'BS'!AB9-'BS'!AC9</f>
        <v>-150000</v>
      </c>
      <c r="AC14" s="5">
        <f>'BS'!AC9-'BS'!AD9</f>
        <v>-50000</v>
      </c>
      <c r="AD14" s="5">
        <f>'BS'!AD9-'BS'!AE9</f>
        <v>-20000</v>
      </c>
      <c r="AE14" s="5">
        <f>'BS'!AE9-'BS'!AF9</f>
        <v>5000</v>
      </c>
      <c r="AF14" s="5">
        <f>'BS'!AF9-'BS'!AG9</f>
        <v>-5000</v>
      </c>
      <c r="AG14" s="5">
        <f>'BS'!AG9-'BS'!AH9</f>
        <v>145000</v>
      </c>
      <c r="AH14" s="5">
        <f>'BS'!AH9-'BS'!AI9</f>
        <v>-100000</v>
      </c>
      <c r="AI14" s="5">
        <f>'BS'!AI9-'BS'!AJ9</f>
        <v>25000</v>
      </c>
      <c r="AJ14" s="5">
        <f>'BS'!AJ9-'BS'!AK9</f>
        <v>70000</v>
      </c>
      <c r="AK14" s="5">
        <f>'BS'!AK9-'BS'!AL9</f>
        <v>-50000</v>
      </c>
      <c r="AL14" s="5">
        <f>'BS'!AL9-'BS'!AM9</f>
        <v>125000</v>
      </c>
      <c r="AM14" s="5">
        <f>'BS'!AM9-'BS'!AN9</f>
        <v>5000</v>
      </c>
      <c r="AN14" s="5">
        <f>'BS'!AN9-'BS'!AO9</f>
        <v>-120000</v>
      </c>
      <c r="AO14" s="5">
        <f>'BS'!AO9-'BS'!AP9</f>
        <v>-50000</v>
      </c>
      <c r="AP14" s="5">
        <f>'BS'!AP9-'BS'!AQ9</f>
        <v>40000</v>
      </c>
      <c r="AQ14" s="5">
        <f>'BS'!AQ9-'BS'!AR9</f>
        <v>20000</v>
      </c>
      <c r="AR14" s="5">
        <f>'BS'!AR9-'BS'!AS9</f>
        <v>-110000</v>
      </c>
      <c r="AS14" s="5">
        <f>'BS'!AS9-'BS'!AT9</f>
        <v>70000</v>
      </c>
      <c r="AT14" s="5">
        <f>'BS'!AT9-'BS'!AU9</f>
        <v>20000</v>
      </c>
      <c r="AU14" s="5">
        <f>'BS'!AU9-'BS'!AV9</f>
        <v>60000</v>
      </c>
      <c r="AV14" s="5">
        <f>'BS'!AV9-'BS'!AW9</f>
        <v>55000</v>
      </c>
      <c r="AW14" s="5">
        <f>'BS'!AW9-'BS'!AX9</f>
        <v>-84500</v>
      </c>
      <c r="AX14" s="5">
        <f>'BS'!AX9-'BS'!AY9</f>
        <v>10300</v>
      </c>
      <c r="AY14" s="5">
        <f>'BS'!AY9-'BS'!AZ9</f>
        <v>73150</v>
      </c>
      <c r="AZ14" s="5">
        <f>'BS'!AZ9-'BS'!BA9</f>
        <v>-91300</v>
      </c>
      <c r="BA14" s="5">
        <f>'BS'!BA9-'BS'!BB9</f>
        <v>-94050</v>
      </c>
      <c r="BB14" s="5">
        <f>'BS'!BB9-'BS'!BC9</f>
        <v>-23100</v>
      </c>
      <c r="BC14" s="5">
        <f>'BS'!BC9-'BS'!BD9</f>
        <v>1100</v>
      </c>
      <c r="BD14" s="5">
        <f>'BS'!BD9-'BS'!BE9</f>
        <v>-48950</v>
      </c>
      <c r="BE14" s="5">
        <f>'BS'!BE9-'BS'!BF9</f>
        <v>26950</v>
      </c>
      <c r="BF14" s="5">
        <f>'BS'!BF9-'BS'!BG9</f>
        <v>84150</v>
      </c>
      <c r="BG14" s="5">
        <f>'BS'!BG9-'BS'!BH9</f>
        <v>12650</v>
      </c>
      <c r="BH14" s="5">
        <f>'BS'!BH9-'BS'!BI9</f>
        <v>61600</v>
      </c>
    </row>
    <row r="15" spans="1:60" ht="12.75">
      <c r="A15" s="21" t="s">
        <v>134</v>
      </c>
      <c r="B15" s="5">
        <f>'BS'!B10-'BS'!C10</f>
        <v>0</v>
      </c>
      <c r="C15" s="5">
        <f>'BS'!C10-'BS'!D10</f>
        <v>0</v>
      </c>
      <c r="D15" s="5">
        <f>'BS'!D10-'BS'!E10</f>
        <v>0</v>
      </c>
      <c r="E15" s="5">
        <f>'BS'!E10-'BS'!F10</f>
        <v>0</v>
      </c>
      <c r="F15" s="5">
        <f>'BS'!F10-'BS'!G10</f>
        <v>0</v>
      </c>
      <c r="G15" s="5">
        <f>'BS'!G10-'BS'!H10</f>
        <v>0</v>
      </c>
      <c r="H15" s="5">
        <f>'BS'!H10-'BS'!I10</f>
        <v>0</v>
      </c>
      <c r="I15" s="5">
        <f>'BS'!I10-'BS'!J10</f>
        <v>0</v>
      </c>
      <c r="J15" s="5">
        <f>'BS'!J10-'BS'!K10</f>
        <v>0</v>
      </c>
      <c r="K15" s="5">
        <f>'BS'!K10-'BS'!L10</f>
        <v>0</v>
      </c>
      <c r="L15" s="5">
        <f>'BS'!L10-'BS'!M10</f>
        <v>0</v>
      </c>
      <c r="M15" s="5">
        <f>'BS'!M10-'BS'!N10</f>
        <v>0</v>
      </c>
      <c r="N15" s="5">
        <f>'BS'!N10-'BS'!O10</f>
        <v>0</v>
      </c>
      <c r="O15" s="5">
        <f>'BS'!O10-'BS'!P10</f>
        <v>0</v>
      </c>
      <c r="P15" s="5">
        <f>'BS'!P10-'BS'!Q10</f>
        <v>0</v>
      </c>
      <c r="Q15" s="5">
        <f>'BS'!Q10-'BS'!R10</f>
        <v>0</v>
      </c>
      <c r="R15" s="5">
        <f>'BS'!R10-'BS'!S10</f>
        <v>0</v>
      </c>
      <c r="S15" s="5">
        <f>'BS'!S10-'BS'!T10</f>
        <v>0</v>
      </c>
      <c r="T15" s="5">
        <f>'BS'!T10-'BS'!U10</f>
        <v>0</v>
      </c>
      <c r="U15" s="5">
        <f>'BS'!U10-'BS'!V10</f>
        <v>0</v>
      </c>
      <c r="V15" s="5">
        <f>'BS'!V10-'BS'!W10</f>
        <v>0</v>
      </c>
      <c r="W15" s="5">
        <f>'BS'!W10-'BS'!X10</f>
        <v>0</v>
      </c>
      <c r="X15" s="5">
        <f>'BS'!X10-'BS'!Y10</f>
        <v>0</v>
      </c>
      <c r="Y15" s="5">
        <f>'BS'!Y10-'BS'!Z10</f>
        <v>0</v>
      </c>
      <c r="Z15" s="5">
        <f>'BS'!Z10-'BS'!AA10</f>
        <v>0</v>
      </c>
      <c r="AA15" s="5">
        <f>'BS'!AA10-'BS'!AB10</f>
        <v>0</v>
      </c>
      <c r="AB15" s="5">
        <f>'BS'!AB10-'BS'!AC10</f>
        <v>0</v>
      </c>
      <c r="AC15" s="5">
        <f>'BS'!AC10-'BS'!AD10</f>
        <v>0</v>
      </c>
      <c r="AD15" s="5">
        <f>'BS'!AD10-'BS'!AE10</f>
        <v>0</v>
      </c>
      <c r="AE15" s="5">
        <f>'BS'!AE10-'BS'!AF10</f>
        <v>0</v>
      </c>
      <c r="AF15" s="5">
        <f>'BS'!AF10-'BS'!AG10</f>
        <v>0</v>
      </c>
      <c r="AG15" s="5">
        <f>'BS'!AG10-'BS'!AH10</f>
        <v>0</v>
      </c>
      <c r="AH15" s="5">
        <f>'BS'!AH10-'BS'!AI10</f>
        <v>0</v>
      </c>
      <c r="AI15" s="5">
        <f>'BS'!AI10-'BS'!AJ10</f>
        <v>0</v>
      </c>
      <c r="AJ15" s="5">
        <f>'BS'!AJ10-'BS'!AK10</f>
        <v>0</v>
      </c>
      <c r="AK15" s="5">
        <f>'BS'!AK10-'BS'!AL10</f>
        <v>0</v>
      </c>
      <c r="AL15" s="5">
        <f>'BS'!AL10-'BS'!AM10</f>
        <v>0</v>
      </c>
      <c r="AM15" s="5">
        <f>'BS'!AM10-'BS'!AN10</f>
        <v>0</v>
      </c>
      <c r="AN15" s="5">
        <f>'BS'!AN10-'BS'!AO10</f>
        <v>0</v>
      </c>
      <c r="AO15" s="5">
        <f>'BS'!AO10-'BS'!AP10</f>
        <v>0</v>
      </c>
      <c r="AP15" s="5">
        <f>'BS'!AP10-'BS'!AQ10</f>
        <v>0</v>
      </c>
      <c r="AQ15" s="5">
        <f>'BS'!AQ10-'BS'!AR10</f>
        <v>0</v>
      </c>
      <c r="AR15" s="5">
        <f>'BS'!AR10-'BS'!AS10</f>
        <v>0</v>
      </c>
      <c r="AS15" s="5">
        <f>'BS'!AS10-'BS'!AT10</f>
        <v>0</v>
      </c>
      <c r="AT15" s="5">
        <f>'BS'!AT10-'BS'!AU10</f>
        <v>0</v>
      </c>
      <c r="AU15" s="5">
        <f>'BS'!AU10-'BS'!AV10</f>
        <v>0</v>
      </c>
      <c r="AV15" s="5">
        <f>'BS'!AV10-'BS'!AW10</f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</row>
    <row r="16" spans="1:60" ht="12.75">
      <c r="A16" s="21" t="s">
        <v>129</v>
      </c>
      <c r="B16" s="5">
        <f>'BS'!B21-'BS'!C21</f>
        <v>0</v>
      </c>
      <c r="C16" s="5">
        <f>'BS'!C21-'BS'!D21</f>
        <v>0</v>
      </c>
      <c r="D16" s="5">
        <f>'BS'!D21-'BS'!E21</f>
        <v>0</v>
      </c>
      <c r="E16" s="5">
        <f>'BS'!E21-'BS'!F21</f>
        <v>0</v>
      </c>
      <c r="F16" s="5">
        <f>'BS'!F21-'BS'!G21</f>
        <v>0</v>
      </c>
      <c r="G16" s="5">
        <f>'BS'!G21-'BS'!H21</f>
        <v>0</v>
      </c>
      <c r="H16" s="5">
        <f>'BS'!H21-'BS'!I21</f>
        <v>0</v>
      </c>
      <c r="I16" s="5">
        <f>'BS'!I21-'BS'!J21</f>
        <v>0</v>
      </c>
      <c r="J16" s="5">
        <f>'BS'!J21-'BS'!K21</f>
        <v>0</v>
      </c>
      <c r="K16" s="5">
        <f>'BS'!K21-'BS'!L21</f>
        <v>0</v>
      </c>
      <c r="L16" s="5">
        <f>'BS'!L21-'BS'!M21</f>
        <v>-50000</v>
      </c>
      <c r="M16" s="5">
        <f>'BS'!M21-'BS'!N21</f>
        <v>0</v>
      </c>
      <c r="N16" s="5">
        <f>'BS'!N21-'BS'!O21</f>
        <v>0</v>
      </c>
      <c r="O16" s="5">
        <f>'BS'!O21-'BS'!P21</f>
        <v>0</v>
      </c>
      <c r="P16" s="5">
        <f>'BS'!P21-'BS'!Q21</f>
        <v>0</v>
      </c>
      <c r="Q16" s="5">
        <f>'BS'!Q21-'BS'!R21</f>
        <v>0</v>
      </c>
      <c r="R16" s="5">
        <f>'BS'!R21-'BS'!S21</f>
        <v>-25000</v>
      </c>
      <c r="S16" s="5">
        <f>'BS'!S21-'BS'!T21</f>
        <v>0</v>
      </c>
      <c r="T16" s="5">
        <f>'BS'!T21-'BS'!U21</f>
        <v>0</v>
      </c>
      <c r="U16" s="5">
        <f>'BS'!U21-'BS'!V21</f>
        <v>0</v>
      </c>
      <c r="V16" s="5">
        <f>'BS'!V21-'BS'!W21</f>
        <v>0</v>
      </c>
      <c r="W16" s="5">
        <f>'BS'!W21-'BS'!X21</f>
        <v>0</v>
      </c>
      <c r="X16" s="5">
        <f>'BS'!X21-'BS'!Y21</f>
        <v>-65000</v>
      </c>
      <c r="Y16" s="5">
        <f>'BS'!Y21-'BS'!Z21</f>
        <v>0</v>
      </c>
      <c r="Z16" s="5">
        <f>'BS'!Z21-'BS'!AA21</f>
        <v>0</v>
      </c>
      <c r="AA16" s="5">
        <f>'BS'!AA21-'BS'!AB21</f>
        <v>0</v>
      </c>
      <c r="AB16" s="5">
        <f>'BS'!AB21-'BS'!AC21</f>
        <v>0</v>
      </c>
      <c r="AC16" s="5">
        <f>'BS'!AC21-'BS'!AD21</f>
        <v>0</v>
      </c>
      <c r="AD16" s="5">
        <f>'BS'!AD21-'BS'!AE21</f>
        <v>0</v>
      </c>
      <c r="AE16" s="5">
        <f>'BS'!AE21-'BS'!AF21</f>
        <v>0</v>
      </c>
      <c r="AF16" s="5">
        <f>'BS'!AF21-'BS'!AG21</f>
        <v>0</v>
      </c>
      <c r="AG16" s="5">
        <f>'BS'!AG21-'BS'!AH21</f>
        <v>0</v>
      </c>
      <c r="AH16" s="5">
        <f>'BS'!AH21-'BS'!AI21</f>
        <v>0</v>
      </c>
      <c r="AI16" s="5">
        <f>'BS'!AI21-'BS'!AJ21</f>
        <v>0</v>
      </c>
      <c r="AJ16" s="5">
        <f>'BS'!AJ21-'BS'!AK21</f>
        <v>0</v>
      </c>
      <c r="AK16" s="5">
        <f>'BS'!AK21-'BS'!AL21</f>
        <v>0</v>
      </c>
      <c r="AL16" s="5">
        <f>'BS'!AL21-'BS'!AM21</f>
        <v>0</v>
      </c>
      <c r="AM16" s="5">
        <f>'BS'!AM21-'BS'!AN21</f>
        <v>0</v>
      </c>
      <c r="AN16" s="5">
        <f>'BS'!AN21-'BS'!AO21</f>
        <v>0</v>
      </c>
      <c r="AO16" s="5">
        <f>'BS'!AO21-'BS'!AP21</f>
        <v>0</v>
      </c>
      <c r="AP16" s="5">
        <f>'BS'!AP21-'BS'!AQ21</f>
        <v>0</v>
      </c>
      <c r="AQ16" s="5">
        <f>'BS'!AQ21-'BS'!AR21</f>
        <v>0</v>
      </c>
      <c r="AR16" s="5">
        <f>'BS'!AR21-'BS'!AS21</f>
        <v>0</v>
      </c>
      <c r="AS16" s="5">
        <f>'BS'!AS21-'BS'!AT21</f>
        <v>0</v>
      </c>
      <c r="AT16" s="5">
        <f>'BS'!AT21-'BS'!AU21</f>
        <v>0</v>
      </c>
      <c r="AU16" s="5">
        <f>'BS'!AU21-'BS'!AV21</f>
        <v>0</v>
      </c>
      <c r="AV16" s="5">
        <f>'BS'!AV21-'BS'!AW21</f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</row>
    <row r="17" spans="1:60" ht="12.75">
      <c r="A17" s="21" t="s">
        <v>131</v>
      </c>
      <c r="B17" s="5">
        <f>'BS'!C30-'BS'!B30</f>
        <v>1000</v>
      </c>
      <c r="C17" s="5">
        <f>'BS'!D30-'BS'!C30</f>
        <v>9000</v>
      </c>
      <c r="D17" s="5">
        <f>'BS'!E30-'BS'!D30</f>
        <v>30000</v>
      </c>
      <c r="E17" s="5">
        <f>'BS'!F30-'BS'!E30</f>
        <v>35000</v>
      </c>
      <c r="F17" s="5">
        <f>'BS'!G30-'BS'!F30</f>
        <v>-2000</v>
      </c>
      <c r="G17" s="5">
        <f>'BS'!H30-'BS'!G30</f>
        <v>67000</v>
      </c>
      <c r="H17" s="5">
        <f>'BS'!I30-'BS'!H30</f>
        <v>-20000</v>
      </c>
      <c r="I17" s="5">
        <f>'BS'!J30-'BS'!I30</f>
        <v>-1000</v>
      </c>
      <c r="J17" s="5">
        <f>'BS'!K30-'BS'!J30</f>
        <v>-59000</v>
      </c>
      <c r="K17" s="5">
        <f>'BS'!L30-'BS'!K30</f>
        <v>15000</v>
      </c>
      <c r="L17" s="5">
        <f>'BS'!M30-'BS'!L30</f>
        <v>-10000</v>
      </c>
      <c r="M17" s="5">
        <f>'BS'!N30-'BS'!M30</f>
        <v>20000</v>
      </c>
      <c r="N17" s="5">
        <f>'BS'!O30-'BS'!N30</f>
        <v>-50000</v>
      </c>
      <c r="O17" s="5">
        <f>'BS'!P30-'BS'!O30</f>
        <v>-45000</v>
      </c>
      <c r="P17" s="5">
        <f>'BS'!Q30-'BS'!P30</f>
        <v>15000</v>
      </c>
      <c r="Q17" s="5">
        <f>'BS'!R30-'BS'!Q30</f>
        <v>60000</v>
      </c>
      <c r="R17" s="5">
        <f>'BS'!S30-'BS'!R30</f>
        <v>35000</v>
      </c>
      <c r="S17" s="5">
        <f>'BS'!T30-'BS'!S30</f>
        <v>-50000</v>
      </c>
      <c r="T17" s="5">
        <f>'BS'!U30-'BS'!T30</f>
        <v>0</v>
      </c>
      <c r="U17" s="5">
        <f>'BS'!V30-'BS'!U30</f>
        <v>15000</v>
      </c>
      <c r="V17" s="5">
        <f>'BS'!W30-'BS'!V30</f>
        <v>-15000</v>
      </c>
      <c r="W17" s="5">
        <f>'BS'!X30-'BS'!W30</f>
        <v>-50000</v>
      </c>
      <c r="X17" s="5">
        <f>'BS'!Y30-'BS'!X30</f>
        <v>5000</v>
      </c>
      <c r="Y17" s="5">
        <f>'BS'!Z30-'BS'!Y30</f>
        <v>162000</v>
      </c>
      <c r="Z17" s="5">
        <f>'BS'!AA30-'BS'!Z30</f>
        <v>-152000</v>
      </c>
      <c r="AA17" s="5">
        <f>'BS'!AB30-'BS'!AA30</f>
        <v>30000</v>
      </c>
      <c r="AB17" s="5">
        <f>'BS'!AC30-'BS'!AB30</f>
        <v>45000</v>
      </c>
      <c r="AC17" s="5">
        <f>'BS'!AD30-'BS'!AC30</f>
        <v>30000</v>
      </c>
      <c r="AD17" s="5">
        <f>'BS'!AE30-'BS'!AD30</f>
        <v>15000</v>
      </c>
      <c r="AE17" s="5">
        <f>'BS'!AF30-'BS'!AE30</f>
        <v>-15000</v>
      </c>
      <c r="AF17" s="5">
        <f>'BS'!AG30-'BS'!AF30</f>
        <v>5000</v>
      </c>
      <c r="AG17" s="5">
        <f>'BS'!AH30-'BS'!AG30</f>
        <v>-65000</v>
      </c>
      <c r="AH17" s="5">
        <f>'BS'!AI30-'BS'!AH30</f>
        <v>-10000</v>
      </c>
      <c r="AI17" s="5">
        <f>'BS'!AJ30-'BS'!AI30</f>
        <v>30000</v>
      </c>
      <c r="AJ17" s="5">
        <f>'BS'!AK30-'BS'!AJ30</f>
        <v>-130000</v>
      </c>
      <c r="AK17" s="5">
        <f>'BS'!AL30-'BS'!AK30</f>
        <v>85000</v>
      </c>
      <c r="AL17" s="5">
        <f>'BS'!AM30-'BS'!AL30</f>
        <v>-12000</v>
      </c>
      <c r="AM17" s="5">
        <f>'BS'!AN30-'BS'!AM30</f>
        <v>-3000</v>
      </c>
      <c r="AN17" s="5">
        <f>'BS'!AO30-'BS'!AN30</f>
        <v>20000</v>
      </c>
      <c r="AO17" s="5">
        <f>'BS'!AP30-'BS'!AO30</f>
        <v>80000</v>
      </c>
      <c r="AP17" s="5">
        <f>'BS'!AQ30-'BS'!AP30</f>
        <v>-27000</v>
      </c>
      <c r="AQ17" s="5">
        <f>'BS'!AR30-'BS'!AQ30</f>
        <v>2000</v>
      </c>
      <c r="AR17" s="5">
        <f>'BS'!AS30-'BS'!AR30</f>
        <v>30000</v>
      </c>
      <c r="AS17" s="5">
        <f>'BS'!AT30-'BS'!AS30</f>
        <v>-50000</v>
      </c>
      <c r="AT17" s="5">
        <f>'BS'!AU30-'BS'!AT30</f>
        <v>-10000</v>
      </c>
      <c r="AU17" s="5">
        <f>'BS'!AV30-'BS'!AU30</f>
        <v>-65000</v>
      </c>
      <c r="AV17" s="5">
        <f>'BS'!AW30-'BS'!AV30</f>
        <v>-65000</v>
      </c>
      <c r="AW17" s="5">
        <f>'BS'!AX30-'BS'!AW30</f>
        <v>68430.00000000003</v>
      </c>
      <c r="AX17" s="5">
        <f>'BS'!AY30-'BS'!AX30</f>
        <v>-39556.000000000015</v>
      </c>
      <c r="AY17" s="5">
        <f>'BS'!AZ30-'BS'!AY30</f>
        <v>-5797</v>
      </c>
      <c r="AZ17" s="5">
        <f>'BS'!BA30-'BS'!AZ30</f>
        <v>62403.000000000015</v>
      </c>
      <c r="BA17" s="5">
        <f>'BS'!BB30-'BS'!BA30</f>
        <v>-4092</v>
      </c>
      <c r="BB17" s="5">
        <f>'BS'!BC30-'BS'!BB30</f>
        <v>18414</v>
      </c>
      <c r="BC17" s="5">
        <f>'BS'!BD30-'BS'!BC30</f>
        <v>-19096</v>
      </c>
      <c r="BD17" s="5">
        <f>'BS'!BE30-'BS'!BD30</f>
        <v>49445.00000000003</v>
      </c>
      <c r="BE17" s="5">
        <f>'BS'!BF30-'BS'!BE30</f>
        <v>-66154.00000000003</v>
      </c>
      <c r="BF17" s="5">
        <f>'BS'!BG30-'BS'!BF30</f>
        <v>13981</v>
      </c>
      <c r="BG17" s="5">
        <f>'BS'!BH30-'BS'!BG30</f>
        <v>-21824</v>
      </c>
      <c r="BH17" s="5">
        <f>'BS'!BI30-'BS'!BH30</f>
        <v>-63664.700000000026</v>
      </c>
    </row>
    <row r="18" spans="1:60" ht="12.75">
      <c r="A18" s="21" t="s">
        <v>132</v>
      </c>
      <c r="B18" s="5">
        <f>'BS'!C31-'BS'!B31</f>
        <v>0</v>
      </c>
      <c r="C18" s="5">
        <f>'BS'!D31-'BS'!C31</f>
        <v>0</v>
      </c>
      <c r="D18" s="5">
        <f>'BS'!E31-'BS'!D31</f>
        <v>0</v>
      </c>
      <c r="E18" s="5">
        <f>'BS'!F31-'BS'!E31</f>
        <v>0</v>
      </c>
      <c r="F18" s="5">
        <f>'BS'!G31-'BS'!F31</f>
        <v>0</v>
      </c>
      <c r="G18" s="5">
        <f>'BS'!H31-'BS'!G31</f>
        <v>0</v>
      </c>
      <c r="H18" s="5">
        <f>'BS'!I31-'BS'!H31</f>
        <v>0</v>
      </c>
      <c r="I18" s="5">
        <f>'BS'!J31-'BS'!I31</f>
        <v>0</v>
      </c>
      <c r="J18" s="5">
        <f>'BS'!K31-'BS'!J31</f>
        <v>0</v>
      </c>
      <c r="K18" s="5">
        <f>'BS'!L31-'BS'!K31</f>
        <v>0</v>
      </c>
      <c r="L18" s="5">
        <f>'BS'!M31-'BS'!L31</f>
        <v>12000</v>
      </c>
      <c r="M18" s="5">
        <f>'BS'!N31-'BS'!M31</f>
        <v>4000</v>
      </c>
      <c r="N18" s="5">
        <f>'BS'!O31-'BS'!N31</f>
        <v>-11000</v>
      </c>
      <c r="O18" s="5">
        <f>'BS'!P31-'BS'!O31</f>
        <v>-1000</v>
      </c>
      <c r="P18" s="5">
        <f>'BS'!Q31-'BS'!P31</f>
        <v>0</v>
      </c>
      <c r="Q18" s="5">
        <f>'BS'!R31-'BS'!Q31</f>
        <v>1000</v>
      </c>
      <c r="R18" s="5">
        <f>'BS'!S31-'BS'!R31</f>
        <v>1000</v>
      </c>
      <c r="S18" s="5">
        <f>'BS'!T31-'BS'!S31</f>
        <v>-6000</v>
      </c>
      <c r="T18" s="5">
        <f>'BS'!U31-'BS'!T31</f>
        <v>14000</v>
      </c>
      <c r="U18" s="5">
        <f>'BS'!V31-'BS'!U31</f>
        <v>-10000</v>
      </c>
      <c r="V18" s="5">
        <f>'BS'!W31-'BS'!V31</f>
        <v>3000</v>
      </c>
      <c r="W18" s="5">
        <f>'BS'!X31-'BS'!W31</f>
        <v>7000</v>
      </c>
      <c r="X18" s="5">
        <f>'BS'!Y31-'BS'!X31</f>
        <v>-14000</v>
      </c>
      <c r="Y18" s="5">
        <f>'BS'!Z31-'BS'!Y31</f>
        <v>13000</v>
      </c>
      <c r="Z18" s="5">
        <f>'BS'!AA31-'BS'!Z31</f>
        <v>-4000</v>
      </c>
      <c r="AA18" s="5">
        <f>'BS'!AB31-'BS'!AA31</f>
        <v>-7000</v>
      </c>
      <c r="AB18" s="5">
        <f>'BS'!AC31-'BS'!AB31</f>
        <v>0</v>
      </c>
      <c r="AC18" s="5">
        <f>'BS'!AD31-'BS'!AC31</f>
        <v>-2000</v>
      </c>
      <c r="AD18" s="5">
        <f>'BS'!AE31-'BS'!AD31</f>
        <v>-5000</v>
      </c>
      <c r="AE18" s="5">
        <f>'BS'!AF31-'BS'!AE31</f>
        <v>13000</v>
      </c>
      <c r="AF18" s="5">
        <f>'BS'!AG31-'BS'!AF31</f>
        <v>3000</v>
      </c>
      <c r="AG18" s="5">
        <f>'BS'!AH31-'BS'!AG31</f>
        <v>1000</v>
      </c>
      <c r="AH18" s="5">
        <f>'BS'!AI31-'BS'!AH31</f>
        <v>-5000</v>
      </c>
      <c r="AI18" s="5">
        <f>'BS'!AJ31-'BS'!AI31</f>
        <v>-5000</v>
      </c>
      <c r="AJ18" s="5">
        <f>'BS'!AK31-'BS'!AJ31</f>
        <v>4000</v>
      </c>
      <c r="AK18" s="5">
        <f>'BS'!AL31-'BS'!AK31</f>
        <v>-5000</v>
      </c>
      <c r="AL18" s="5">
        <f>'BS'!AM31-'BS'!AL31</f>
        <v>-1000</v>
      </c>
      <c r="AM18" s="5">
        <f>'BS'!AN31-'BS'!AM31</f>
        <v>7000</v>
      </c>
      <c r="AN18" s="5">
        <f>'BS'!AO31-'BS'!AN31</f>
        <v>7000</v>
      </c>
      <c r="AO18" s="5">
        <f>'BS'!AP31-'BS'!AO31</f>
        <v>-2000</v>
      </c>
      <c r="AP18" s="5">
        <f>'BS'!AQ31-'BS'!AP31</f>
        <v>-1000</v>
      </c>
      <c r="AQ18" s="5">
        <f>'BS'!AR31-'BS'!AQ31</f>
        <v>3000</v>
      </c>
      <c r="AR18" s="5">
        <f>'BS'!AS31-'BS'!AR31</f>
        <v>-14000</v>
      </c>
      <c r="AS18" s="5">
        <f>'BS'!AT31-'BS'!AS31</f>
        <v>1000</v>
      </c>
      <c r="AT18" s="5">
        <f>'BS'!AU31-'BS'!AT31</f>
        <v>0</v>
      </c>
      <c r="AU18" s="5">
        <f>'BS'!AV31-'BS'!AU31</f>
        <v>0</v>
      </c>
      <c r="AV18" s="5">
        <f>'BS'!AW31-'BS'!AV31</f>
        <v>-1000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</row>
    <row r="19" spans="1:60" ht="12.75">
      <c r="A19" s="21" t="s">
        <v>133</v>
      </c>
      <c r="B19" s="5">
        <f>'BS'!C32-'BS'!B32</f>
        <v>47000</v>
      </c>
      <c r="C19" s="5">
        <f>'BS'!D32-'BS'!C32</f>
        <v>31000</v>
      </c>
      <c r="D19" s="5">
        <f>'BS'!E32-'BS'!D32</f>
        <v>1000</v>
      </c>
      <c r="E19" s="5">
        <f>'BS'!F32-'BS'!E32</f>
        <v>-9000</v>
      </c>
      <c r="F19" s="5">
        <f>'BS'!G32-'BS'!F32</f>
        <v>-3000</v>
      </c>
      <c r="G19" s="5">
        <f>'BS'!H32-'BS'!G32</f>
        <v>-21000</v>
      </c>
      <c r="H19" s="5">
        <f>'BS'!I32-'BS'!H32</f>
        <v>-4000</v>
      </c>
      <c r="I19" s="5">
        <f>'BS'!J32-'BS'!I32</f>
        <v>-12000</v>
      </c>
      <c r="J19" s="5">
        <f>'BS'!K32-'BS'!J32</f>
        <v>-40000</v>
      </c>
      <c r="K19" s="5">
        <f>'BS'!L32-'BS'!K32</f>
        <v>-6000</v>
      </c>
      <c r="L19" s="5">
        <f>'BS'!M32-'BS'!L32</f>
        <v>-1000</v>
      </c>
      <c r="M19" s="5">
        <f>'BS'!N32-'BS'!M32</f>
        <v>13000</v>
      </c>
      <c r="N19" s="5">
        <f>'BS'!O32-'BS'!N32</f>
        <v>56000</v>
      </c>
      <c r="O19" s="5">
        <f>'BS'!P32-'BS'!O32</f>
        <v>49000</v>
      </c>
      <c r="P19" s="5">
        <f>'BS'!Q32-'BS'!P32</f>
        <v>-12000</v>
      </c>
      <c r="Q19" s="5">
        <f>'BS'!R32-'BS'!Q32</f>
        <v>-10000</v>
      </c>
      <c r="R19" s="5">
        <f>'BS'!S32-'BS'!R32</f>
        <v>-38000</v>
      </c>
      <c r="S19" s="5">
        <f>'BS'!T32-'BS'!S32</f>
        <v>-39000</v>
      </c>
      <c r="T19" s="5">
        <f>'BS'!U32-'BS'!T32</f>
        <v>-29000</v>
      </c>
      <c r="U19" s="5">
        <f>'BS'!V32-'BS'!U32</f>
        <v>-14000</v>
      </c>
      <c r="V19" s="5">
        <f>'BS'!W32-'BS'!V32</f>
        <v>-30000</v>
      </c>
      <c r="W19" s="5">
        <f>'BS'!X32-'BS'!W32</f>
        <v>-5000</v>
      </c>
      <c r="X19" s="5">
        <f>'BS'!Y32-'BS'!X32</f>
        <v>135000</v>
      </c>
      <c r="Y19" s="5">
        <f>'BS'!Z32-'BS'!Y32</f>
        <v>2000</v>
      </c>
      <c r="Z19" s="5">
        <f>'BS'!AA32-'BS'!Z32</f>
        <v>49000</v>
      </c>
      <c r="AA19" s="5">
        <f>'BS'!AB32-'BS'!AA32</f>
        <v>169000</v>
      </c>
      <c r="AB19" s="5">
        <f>'BS'!AC32-'BS'!AB32</f>
        <v>-29000</v>
      </c>
      <c r="AC19" s="5">
        <f>'BS'!AD32-'BS'!AC32</f>
        <v>-9000</v>
      </c>
      <c r="AD19" s="5">
        <f>'BS'!AE32-'BS'!AD32</f>
        <v>-30000</v>
      </c>
      <c r="AE19" s="5">
        <f>'BS'!AF32-'BS'!AE32</f>
        <v>-12000</v>
      </c>
      <c r="AF19" s="5">
        <f>'BS'!AG32-'BS'!AF32</f>
        <v>-23000</v>
      </c>
      <c r="AG19" s="5">
        <f>'BS'!AH32-'BS'!AG32</f>
        <v>-15000</v>
      </c>
      <c r="AH19" s="5">
        <f>'BS'!AI32-'BS'!AH32</f>
        <v>-38000</v>
      </c>
      <c r="AI19" s="5">
        <f>'BS'!AJ32-'BS'!AI32</f>
        <v>-11000</v>
      </c>
      <c r="AJ19" s="5">
        <f>'BS'!AK32-'BS'!AJ32</f>
        <v>-1000</v>
      </c>
      <c r="AK19" s="5">
        <f>'BS'!AL32-'BS'!AK32</f>
        <v>2000</v>
      </c>
      <c r="AL19" s="5">
        <f>'BS'!AM32-'BS'!AL32</f>
        <v>90000</v>
      </c>
      <c r="AM19" s="5">
        <f>'BS'!AN32-'BS'!AM32</f>
        <v>36000</v>
      </c>
      <c r="AN19" s="5">
        <f>'BS'!AO32-'BS'!AN32</f>
        <v>-26000</v>
      </c>
      <c r="AO19" s="5">
        <f>'BS'!AP32-'BS'!AO32</f>
        <v>-23000</v>
      </c>
      <c r="AP19" s="5">
        <f>'BS'!AQ32-'BS'!AP32</f>
        <v>-19000</v>
      </c>
      <c r="AQ19" s="5">
        <f>'BS'!AR32-'BS'!AQ32</f>
        <v>-8000</v>
      </c>
      <c r="AR19" s="5">
        <f>'BS'!AS32-'BS'!AR32</f>
        <v>-11000</v>
      </c>
      <c r="AS19" s="5">
        <f>'BS'!AT32-'BS'!AS32</f>
        <v>-25000</v>
      </c>
      <c r="AT19" s="5">
        <f>'BS'!AU32-'BS'!AT32</f>
        <v>-32000</v>
      </c>
      <c r="AU19" s="5">
        <f>'BS'!AV32-'BS'!AU32</f>
        <v>-9000</v>
      </c>
      <c r="AV19" s="5">
        <f>'BS'!AW32-'BS'!AV32</f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</row>
    <row r="20" s="9" customFormat="1" ht="17.25" customHeight="1">
      <c r="A20" s="23"/>
    </row>
    <row r="21" spans="1:60" ht="12.75">
      <c r="A21" s="32" t="s">
        <v>70</v>
      </c>
      <c r="B21" s="5">
        <f aca="true" t="shared" si="0" ref="B21:AG21">SUM(B9:B19)</f>
        <v>72537</v>
      </c>
      <c r="C21" s="5">
        <f t="shared" si="0"/>
        <v>36555</v>
      </c>
      <c r="D21" s="5">
        <f t="shared" si="0"/>
        <v>-50422</v>
      </c>
      <c r="E21" s="5">
        <f t="shared" si="0"/>
        <v>-17393</v>
      </c>
      <c r="F21" s="5">
        <f t="shared" si="0"/>
        <v>13625</v>
      </c>
      <c r="G21" s="5">
        <f t="shared" si="0"/>
        <v>79485</v>
      </c>
      <c r="H21" s="5">
        <f t="shared" si="0"/>
        <v>-15486</v>
      </c>
      <c r="I21" s="5">
        <f t="shared" si="0"/>
        <v>18480</v>
      </c>
      <c r="J21" s="5">
        <f t="shared" si="0"/>
        <v>1339</v>
      </c>
      <c r="K21" s="5">
        <f t="shared" si="0"/>
        <v>8207</v>
      </c>
      <c r="L21" s="5">
        <f t="shared" si="0"/>
        <v>-50017</v>
      </c>
      <c r="M21" s="5">
        <f t="shared" si="0"/>
        <v>72240</v>
      </c>
      <c r="N21" s="5">
        <f t="shared" si="0"/>
        <v>64269</v>
      </c>
      <c r="O21" s="5">
        <f t="shared" si="0"/>
        <v>36298</v>
      </c>
      <c r="P21" s="5">
        <f t="shared" si="0"/>
        <v>-63104</v>
      </c>
      <c r="Q21" s="5">
        <f t="shared" si="0"/>
        <v>38907</v>
      </c>
      <c r="R21" s="5">
        <f t="shared" si="0"/>
        <v>-40052</v>
      </c>
      <c r="S21" s="5">
        <f t="shared" si="0"/>
        <v>29995</v>
      </c>
      <c r="T21" s="5">
        <f t="shared" si="0"/>
        <v>-37964</v>
      </c>
      <c r="U21" s="5">
        <f t="shared" si="0"/>
        <v>2082</v>
      </c>
      <c r="V21" s="5">
        <f t="shared" si="0"/>
        <v>16972</v>
      </c>
      <c r="W21" s="5">
        <f t="shared" si="0"/>
        <v>41012</v>
      </c>
      <c r="X21" s="5">
        <f t="shared" si="0"/>
        <v>-58291</v>
      </c>
      <c r="Y21" s="5">
        <f t="shared" si="0"/>
        <v>189106</v>
      </c>
      <c r="Z21" s="5">
        <f t="shared" si="0"/>
        <v>92152</v>
      </c>
      <c r="AA21" s="5">
        <f t="shared" si="0"/>
        <v>80199</v>
      </c>
      <c r="AB21" s="5">
        <f t="shared" si="0"/>
        <v>-98754</v>
      </c>
      <c r="AC21" s="5">
        <f t="shared" si="0"/>
        <v>23843</v>
      </c>
      <c r="AD21" s="5">
        <f t="shared" si="0"/>
        <v>78896</v>
      </c>
      <c r="AE21" s="5">
        <f t="shared" si="0"/>
        <v>30054</v>
      </c>
      <c r="AF21" s="5">
        <f t="shared" si="0"/>
        <v>13082</v>
      </c>
      <c r="AG21" s="5">
        <f t="shared" si="0"/>
        <v>51065</v>
      </c>
      <c r="AH21" s="5">
        <f aca="true" t="shared" si="1" ref="AH21:BH21">SUM(AH9:AH19)</f>
        <v>-1877</v>
      </c>
      <c r="AI21" s="5">
        <f t="shared" si="1"/>
        <v>82176</v>
      </c>
      <c r="AJ21" s="5">
        <f t="shared" si="1"/>
        <v>-63766</v>
      </c>
      <c r="AK21" s="5">
        <f t="shared" si="1"/>
        <v>83292</v>
      </c>
      <c r="AL21" s="5">
        <f t="shared" si="1"/>
        <v>162351</v>
      </c>
      <c r="AM21" s="5">
        <f t="shared" si="1"/>
        <v>-46591</v>
      </c>
      <c r="AN21" s="5">
        <f t="shared" si="1"/>
        <v>-33661</v>
      </c>
      <c r="AO21" s="5">
        <f t="shared" si="1"/>
        <v>-2591</v>
      </c>
      <c r="AP21" s="5">
        <f t="shared" si="1"/>
        <v>64473</v>
      </c>
      <c r="AQ21" s="5">
        <f t="shared" si="1"/>
        <v>53537</v>
      </c>
      <c r="AR21" s="5">
        <f t="shared" si="1"/>
        <v>33602</v>
      </c>
      <c r="AS21" s="5">
        <f t="shared" si="1"/>
        <v>-4334</v>
      </c>
      <c r="AT21" s="5">
        <f t="shared" si="1"/>
        <v>48730</v>
      </c>
      <c r="AU21" s="5">
        <f t="shared" si="1"/>
        <v>8590</v>
      </c>
      <c r="AV21" s="5">
        <f t="shared" si="1"/>
        <v>5514</v>
      </c>
      <c r="AW21" s="5">
        <f t="shared" si="1"/>
        <v>16270.124522536324</v>
      </c>
      <c r="AX21" s="5">
        <f t="shared" si="1"/>
        <v>-40788.82977984584</v>
      </c>
      <c r="AY21" s="5">
        <f t="shared" si="1"/>
        <v>46753.77393000777</v>
      </c>
      <c r="AZ21" s="5">
        <f t="shared" si="1"/>
        <v>23721.658649389683</v>
      </c>
      <c r="BA21" s="5">
        <f t="shared" si="1"/>
        <v>-50577.63517851152</v>
      </c>
      <c r="BB21" s="5">
        <f t="shared" si="1"/>
        <v>65264.218460722375</v>
      </c>
      <c r="BC21" s="5">
        <f t="shared" si="1"/>
        <v>29821.249015975198</v>
      </c>
      <c r="BD21" s="5">
        <f t="shared" si="1"/>
        <v>109784.23498457804</v>
      </c>
      <c r="BE21" s="5">
        <f t="shared" si="1"/>
        <v>-8413.168404906537</v>
      </c>
      <c r="BF21" s="5">
        <f t="shared" si="1"/>
        <v>146473.8781648537</v>
      </c>
      <c r="BG21" s="5">
        <f t="shared" si="1"/>
        <v>11253.15815081064</v>
      </c>
      <c r="BH21" s="5">
        <f t="shared" si="1"/>
        <v>-2856.949167794097</v>
      </c>
    </row>
    <row r="22" ht="12.75">
      <c r="A22" s="21"/>
    </row>
    <row r="23" ht="12.75">
      <c r="A23" s="19" t="s">
        <v>71</v>
      </c>
    </row>
    <row r="24" spans="1:60" ht="12.75">
      <c r="A24" s="21" t="s">
        <v>72</v>
      </c>
      <c r="B24" s="5">
        <f>'BS'!B15-'BS'!C15</f>
        <v>0</v>
      </c>
      <c r="C24" s="5">
        <f>'BS'!C15-'BS'!D15</f>
        <v>-40000</v>
      </c>
      <c r="D24" s="5">
        <f>'BS'!D15-'BS'!E15</f>
        <v>0</v>
      </c>
      <c r="E24" s="5">
        <f>'BS'!E15-'BS'!F15</f>
        <v>0</v>
      </c>
      <c r="F24" s="5">
        <f>'BS'!F15-'BS'!G15</f>
        <v>0</v>
      </c>
      <c r="G24" s="5">
        <f>'BS'!G15-'BS'!H15</f>
        <v>-10000</v>
      </c>
      <c r="H24" s="5">
        <f>'BS'!H15-'BS'!I15</f>
        <v>0</v>
      </c>
      <c r="I24" s="5">
        <f>'BS'!I15-'BS'!J15</f>
        <v>0</v>
      </c>
      <c r="J24" s="5">
        <f>'BS'!J15-'BS'!K15</f>
        <v>0</v>
      </c>
      <c r="K24" s="5">
        <f>'BS'!K15-'BS'!L15</f>
        <v>0</v>
      </c>
      <c r="L24" s="5">
        <f>'BS'!L15-'BS'!M15</f>
        <v>-100000</v>
      </c>
      <c r="M24" s="5">
        <f>'BS'!M15-'BS'!N15</f>
        <v>0</v>
      </c>
      <c r="N24" s="5">
        <f>'BS'!N15-'BS'!O15</f>
        <v>0</v>
      </c>
      <c r="O24" s="5">
        <f>'BS'!O15-'BS'!P15</f>
        <v>0</v>
      </c>
      <c r="P24" s="5">
        <f>'BS'!P15-'BS'!Q15</f>
        <v>0</v>
      </c>
      <c r="Q24" s="5">
        <f>'BS'!Q15-'BS'!R15</f>
        <v>0</v>
      </c>
      <c r="R24" s="5">
        <f>'BS'!R15-'BS'!S15</f>
        <v>0</v>
      </c>
      <c r="S24" s="5">
        <f>'BS'!S15-'BS'!T15</f>
        <v>0</v>
      </c>
      <c r="T24" s="5">
        <f>'BS'!T15-'BS'!U15</f>
        <v>0</v>
      </c>
      <c r="U24" s="5">
        <f>'BS'!U15-'BS'!V15</f>
        <v>0</v>
      </c>
      <c r="V24" s="5">
        <f>'BS'!V15-'BS'!W15</f>
        <v>0</v>
      </c>
      <c r="W24" s="5">
        <f>'BS'!W15-'BS'!X15</f>
        <v>-40000</v>
      </c>
      <c r="X24" s="5">
        <f>'BS'!X15-'BS'!Y15</f>
        <v>-30000</v>
      </c>
      <c r="Y24" s="5">
        <f>'BS'!Y15-'BS'!Z15</f>
        <v>0</v>
      </c>
      <c r="Z24" s="5">
        <f>'BS'!Z15-'BS'!AA15</f>
        <v>0</v>
      </c>
      <c r="AA24" s="5">
        <f>'BS'!AA15-'BS'!AB15</f>
        <v>0</v>
      </c>
      <c r="AB24" s="5">
        <f>'BS'!AB15-'BS'!AC15</f>
        <v>0</v>
      </c>
      <c r="AC24" s="5">
        <f>'BS'!AC15-'BS'!AD15</f>
        <v>-100000</v>
      </c>
      <c r="AD24" s="5">
        <f>'BS'!AD15-'BS'!AE15</f>
        <v>0</v>
      </c>
      <c r="AE24" s="5">
        <f>'BS'!AE15-'BS'!AF15</f>
        <v>0</v>
      </c>
      <c r="AF24" s="5">
        <f>'BS'!AF15-'BS'!AG15</f>
        <v>0</v>
      </c>
      <c r="AG24" s="5">
        <f>'BS'!AG15-'BS'!AH15</f>
        <v>-30000</v>
      </c>
      <c r="AH24" s="5">
        <f>'BS'!AH15-'BS'!AI15</f>
        <v>0</v>
      </c>
      <c r="AI24" s="5">
        <f>'BS'!AI15-'BS'!AJ15</f>
        <v>0</v>
      </c>
      <c r="AJ24" s="5">
        <f>'BS'!AJ15-'BS'!AK15</f>
        <v>-20000</v>
      </c>
      <c r="AK24" s="5">
        <f>'BS'!AK15-'BS'!AL15</f>
        <v>0</v>
      </c>
      <c r="AL24" s="5">
        <f>'BS'!AL15-'BS'!AM15</f>
        <v>0</v>
      </c>
      <c r="AM24" s="5">
        <f>'BS'!AM15-'BS'!AN15</f>
        <v>0</v>
      </c>
      <c r="AN24" s="5">
        <f>'BS'!AN15-'BS'!AO15</f>
        <v>-30000</v>
      </c>
      <c r="AO24" s="5">
        <f>'BS'!AO15-'BS'!AP15</f>
        <v>0</v>
      </c>
      <c r="AP24" s="5">
        <f>'BS'!AP15-'BS'!AQ15</f>
        <v>0</v>
      </c>
      <c r="AQ24" s="5">
        <f>'BS'!AQ15-'BS'!AR15</f>
        <v>0</v>
      </c>
      <c r="AR24" s="5">
        <f>'BS'!AR15-'BS'!AS15</f>
        <v>0</v>
      </c>
      <c r="AS24" s="5">
        <f>'BS'!AS15-'BS'!AT15</f>
        <v>0</v>
      </c>
      <c r="AT24" s="5">
        <f>'BS'!AT15-'BS'!AU15</f>
        <v>0</v>
      </c>
      <c r="AU24" s="5">
        <f>'BS'!AU15-'BS'!AV15</f>
        <v>-30000</v>
      </c>
      <c r="AV24" s="5">
        <f>'BS'!AV15-'BS'!AW15</f>
        <v>-35000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</row>
    <row r="25" ht="12.75">
      <c r="A25" s="21"/>
    </row>
    <row r="26" spans="1:60" ht="12.75">
      <c r="A26" s="32" t="s">
        <v>73</v>
      </c>
      <c r="B26" s="5">
        <f>SUM(B21:B24)</f>
        <v>72537</v>
      </c>
      <c r="C26" s="5">
        <f aca="true" t="shared" si="2" ref="C26:AG26">SUM(C21:C24)</f>
        <v>-3445</v>
      </c>
      <c r="D26" s="5">
        <f t="shared" si="2"/>
        <v>-50422</v>
      </c>
      <c r="E26" s="5">
        <f t="shared" si="2"/>
        <v>-17393</v>
      </c>
      <c r="F26" s="5">
        <f t="shared" si="2"/>
        <v>13625</v>
      </c>
      <c r="G26" s="5">
        <f t="shared" si="2"/>
        <v>69485</v>
      </c>
      <c r="H26" s="5">
        <f t="shared" si="2"/>
        <v>-15486</v>
      </c>
      <c r="I26" s="5">
        <f t="shared" si="2"/>
        <v>18480</v>
      </c>
      <c r="J26" s="5">
        <f t="shared" si="2"/>
        <v>1339</v>
      </c>
      <c r="K26" s="5">
        <f t="shared" si="2"/>
        <v>8207</v>
      </c>
      <c r="L26" s="5">
        <f t="shared" si="2"/>
        <v>-150017</v>
      </c>
      <c r="M26" s="5">
        <f t="shared" si="2"/>
        <v>72240</v>
      </c>
      <c r="N26" s="5">
        <f t="shared" si="2"/>
        <v>64269</v>
      </c>
      <c r="O26" s="5">
        <f t="shared" si="2"/>
        <v>36298</v>
      </c>
      <c r="P26" s="5">
        <f t="shared" si="2"/>
        <v>-63104</v>
      </c>
      <c r="Q26" s="5">
        <f t="shared" si="2"/>
        <v>38907</v>
      </c>
      <c r="R26" s="5">
        <f t="shared" si="2"/>
        <v>-40052</v>
      </c>
      <c r="S26" s="5">
        <f t="shared" si="2"/>
        <v>29995</v>
      </c>
      <c r="T26" s="5">
        <f t="shared" si="2"/>
        <v>-37964</v>
      </c>
      <c r="U26" s="5">
        <f t="shared" si="2"/>
        <v>2082</v>
      </c>
      <c r="V26" s="5">
        <f t="shared" si="2"/>
        <v>16972</v>
      </c>
      <c r="W26" s="5">
        <f>SUM(W21:W24)</f>
        <v>1012</v>
      </c>
      <c r="X26" s="5">
        <f t="shared" si="2"/>
        <v>-88291</v>
      </c>
      <c r="Y26" s="5">
        <f>SUM(Y21:Y24)</f>
        <v>189106</v>
      </c>
      <c r="Z26" s="5">
        <f t="shared" si="2"/>
        <v>92152</v>
      </c>
      <c r="AA26" s="5">
        <f t="shared" si="2"/>
        <v>80199</v>
      </c>
      <c r="AB26" s="5">
        <f t="shared" si="2"/>
        <v>-98754</v>
      </c>
      <c r="AC26" s="5">
        <f t="shared" si="2"/>
        <v>-76157</v>
      </c>
      <c r="AD26" s="5">
        <f t="shared" si="2"/>
        <v>78896</v>
      </c>
      <c r="AE26" s="5">
        <f t="shared" si="2"/>
        <v>30054</v>
      </c>
      <c r="AF26" s="5">
        <f t="shared" si="2"/>
        <v>13082</v>
      </c>
      <c r="AG26" s="5">
        <f t="shared" si="2"/>
        <v>21065</v>
      </c>
      <c r="AH26" s="5">
        <f aca="true" t="shared" si="3" ref="AH26:AS26">SUM(AH21:AH24)</f>
        <v>-1877</v>
      </c>
      <c r="AI26" s="5">
        <f t="shared" si="3"/>
        <v>82176</v>
      </c>
      <c r="AJ26" s="5">
        <f t="shared" si="3"/>
        <v>-83766</v>
      </c>
      <c r="AK26" s="5">
        <f t="shared" si="3"/>
        <v>83292</v>
      </c>
      <c r="AL26" s="5">
        <f t="shared" si="3"/>
        <v>162351</v>
      </c>
      <c r="AM26" s="5">
        <f t="shared" si="3"/>
        <v>-46591</v>
      </c>
      <c r="AN26" s="5">
        <f t="shared" si="3"/>
        <v>-63661</v>
      </c>
      <c r="AO26" s="5">
        <f t="shared" si="3"/>
        <v>-2591</v>
      </c>
      <c r="AP26" s="5">
        <f t="shared" si="3"/>
        <v>64473</v>
      </c>
      <c r="AQ26" s="5">
        <f t="shared" si="3"/>
        <v>53537</v>
      </c>
      <c r="AR26" s="5">
        <f t="shared" si="3"/>
        <v>33602</v>
      </c>
      <c r="AS26" s="5">
        <f t="shared" si="3"/>
        <v>-4334</v>
      </c>
      <c r="AT26" s="5">
        <f>SUM(AT21:AT24)</f>
        <v>48730</v>
      </c>
      <c r="AU26" s="5">
        <f>SUM(AU21:AU24)</f>
        <v>-21410</v>
      </c>
      <c r="AV26" s="5">
        <f>SUM(AV21:AV24)</f>
        <v>-29486</v>
      </c>
      <c r="AW26" s="5">
        <f aca="true" t="shared" si="4" ref="AW26:BH26">SUM(AW21:AW24)</f>
        <v>16270.124522536324</v>
      </c>
      <c r="AX26" s="5">
        <f t="shared" si="4"/>
        <v>-40788.82977984584</v>
      </c>
      <c r="AY26" s="5">
        <f t="shared" si="4"/>
        <v>46753.77393000777</v>
      </c>
      <c r="AZ26" s="5">
        <f t="shared" si="4"/>
        <v>23721.658649389683</v>
      </c>
      <c r="BA26" s="5">
        <f t="shared" si="4"/>
        <v>-50577.63517851152</v>
      </c>
      <c r="BB26" s="5">
        <f t="shared" si="4"/>
        <v>65264.218460722375</v>
      </c>
      <c r="BC26" s="5">
        <f t="shared" si="4"/>
        <v>29821.249015975198</v>
      </c>
      <c r="BD26" s="5">
        <f t="shared" si="4"/>
        <v>109784.23498457804</v>
      </c>
      <c r="BE26" s="5">
        <f t="shared" si="4"/>
        <v>-8413.168404906537</v>
      </c>
      <c r="BF26" s="5">
        <f t="shared" si="4"/>
        <v>146473.8781648537</v>
      </c>
      <c r="BG26" s="5">
        <f t="shared" si="4"/>
        <v>11253.15815081064</v>
      </c>
      <c r="BH26" s="5">
        <f t="shared" si="4"/>
        <v>-2856.949167794097</v>
      </c>
    </row>
    <row r="27" ht="12.75">
      <c r="A27" s="19"/>
    </row>
    <row r="28" ht="12.75">
      <c r="A28" s="19" t="s">
        <v>74</v>
      </c>
    </row>
    <row r="29" spans="1:60" ht="12.75">
      <c r="A29" s="21" t="s">
        <v>98</v>
      </c>
      <c r="B29" s="5">
        <f>'BS'!C33-'BS'!B33</f>
        <v>0</v>
      </c>
      <c r="C29" s="5">
        <f>'BS'!D33-'BS'!C33</f>
        <v>0</v>
      </c>
      <c r="D29" s="5">
        <f>'BS'!E33-'BS'!D33</f>
        <v>0</v>
      </c>
      <c r="E29" s="5">
        <f>'BS'!F33-'BS'!E33</f>
        <v>0</v>
      </c>
      <c r="F29" s="5">
        <f>'BS'!G33-'BS'!F33</f>
        <v>0</v>
      </c>
      <c r="G29" s="5">
        <f>'BS'!H33-'BS'!G33</f>
        <v>0</v>
      </c>
      <c r="H29" s="5">
        <f>'BS'!I33-'BS'!H33</f>
        <v>0</v>
      </c>
      <c r="I29" s="5">
        <f>'BS'!J33-'BS'!I33</f>
        <v>0</v>
      </c>
      <c r="J29" s="5">
        <f>'BS'!K33-'BS'!J33</f>
        <v>0</v>
      </c>
      <c r="K29" s="5">
        <f>'BS'!L33-'BS'!K33</f>
        <v>0</v>
      </c>
      <c r="L29" s="5">
        <f>'BS'!M33-'BS'!L33</f>
        <v>40000</v>
      </c>
      <c r="M29" s="5">
        <f>'BS'!N33-'BS'!M33</f>
        <v>-40000</v>
      </c>
      <c r="N29" s="5">
        <f>'BS'!O33-'BS'!N33</f>
        <v>0</v>
      </c>
      <c r="O29" s="5">
        <f>'BS'!P33-'BS'!O33</f>
        <v>0</v>
      </c>
      <c r="P29" s="5">
        <f>'BS'!Q33-'BS'!P33</f>
        <v>0</v>
      </c>
      <c r="Q29" s="5">
        <f>'BS'!R33-'BS'!Q33</f>
        <v>0</v>
      </c>
      <c r="R29" s="5">
        <f>'BS'!S33-'BS'!R33</f>
        <v>0</v>
      </c>
      <c r="S29" s="5">
        <f>'BS'!T33-'BS'!S33</f>
        <v>0</v>
      </c>
      <c r="T29" s="5">
        <f>'BS'!U33-'BS'!T33</f>
        <v>0</v>
      </c>
      <c r="U29" s="5">
        <f>'BS'!V33-'BS'!U33</f>
        <v>0</v>
      </c>
      <c r="V29" s="5">
        <f>'BS'!W33-'BS'!V33</f>
        <v>0</v>
      </c>
      <c r="W29" s="5">
        <f>'BS'!X33-'BS'!W33</f>
        <v>0</v>
      </c>
      <c r="X29" s="5">
        <f>'BS'!Y33-'BS'!X33</f>
        <v>60000</v>
      </c>
      <c r="Y29" s="5">
        <f>'BS'!Z33-'BS'!Y33</f>
        <v>-60000</v>
      </c>
      <c r="Z29" s="5">
        <f>'BS'!AA33-'BS'!Z33</f>
        <v>0</v>
      </c>
      <c r="AA29" s="5">
        <f>'BS'!AB33-'BS'!AA33</f>
        <v>0</v>
      </c>
      <c r="AB29" s="5">
        <f>'BS'!AC33-'BS'!AB33</f>
        <v>0</v>
      </c>
      <c r="AC29" s="5">
        <f>'BS'!AD33-'BS'!AC33</f>
        <v>0</v>
      </c>
      <c r="AD29" s="5">
        <f>'BS'!AE33-'BS'!AD33</f>
        <v>0</v>
      </c>
      <c r="AE29" s="5">
        <f>'BS'!AF33-'BS'!AE33</f>
        <v>0</v>
      </c>
      <c r="AF29" s="5">
        <f>'BS'!AG33-'BS'!AF33</f>
        <v>0</v>
      </c>
      <c r="AG29" s="5">
        <f>'BS'!AH33-'BS'!AG33</f>
        <v>0</v>
      </c>
      <c r="AH29" s="5">
        <f>'BS'!AI33-'BS'!AH33</f>
        <v>0</v>
      </c>
      <c r="AI29" s="5">
        <f>'BS'!AJ33-'BS'!AI33</f>
        <v>0</v>
      </c>
      <c r="AJ29" s="5">
        <f>'BS'!AK33-'BS'!AJ33</f>
        <v>0</v>
      </c>
      <c r="AK29" s="5">
        <f>'BS'!AL33-'BS'!AK33</f>
        <v>0</v>
      </c>
      <c r="AL29" s="5">
        <f>'BS'!AM33-'BS'!AL33</f>
        <v>0</v>
      </c>
      <c r="AM29" s="5">
        <f>'BS'!AN33-'BS'!AM33</f>
        <v>0</v>
      </c>
      <c r="AN29" s="5">
        <f>'BS'!AO33-'BS'!AN33</f>
        <v>0</v>
      </c>
      <c r="AO29" s="5">
        <f>'BS'!AP33-'BS'!AO33</f>
        <v>0</v>
      </c>
      <c r="AP29" s="5">
        <f>'BS'!AQ33-'BS'!AP33</f>
        <v>0</v>
      </c>
      <c r="AQ29" s="5">
        <f>'BS'!AR33-'BS'!AQ33</f>
        <v>0</v>
      </c>
      <c r="AR29" s="5">
        <f>'BS'!AS33-'BS'!AR33</f>
        <v>0</v>
      </c>
      <c r="AS29" s="5">
        <f>'BS'!AT33-'BS'!AS33</f>
        <v>0</v>
      </c>
      <c r="AT29" s="5">
        <f>'BS'!AU33-'BS'!AT33</f>
        <v>0</v>
      </c>
      <c r="AU29" s="5">
        <f>'BS'!AV33-'BS'!AU33</f>
        <v>0</v>
      </c>
      <c r="AV29" s="5">
        <f>'BS'!AW33-'BS'!AV33</f>
        <v>0</v>
      </c>
      <c r="AW29" s="26">
        <f aca="true" t="shared" si="5" ref="AW29:BH29">IF((AV42-AW45+AW47)&gt;0,-AW45+AW47,-AV42)</f>
        <v>0</v>
      </c>
      <c r="AX29" s="26">
        <f t="shared" si="5"/>
        <v>0</v>
      </c>
      <c r="AY29" s="26">
        <f t="shared" si="5"/>
        <v>0</v>
      </c>
      <c r="AZ29" s="26">
        <f t="shared" si="5"/>
        <v>0</v>
      </c>
      <c r="BA29" s="26">
        <f t="shared" si="5"/>
        <v>0</v>
      </c>
      <c r="BB29" s="26">
        <f t="shared" si="5"/>
        <v>0</v>
      </c>
      <c r="BC29" s="26">
        <f t="shared" si="5"/>
        <v>0</v>
      </c>
      <c r="BD29" s="26">
        <f t="shared" si="5"/>
        <v>0</v>
      </c>
      <c r="BE29" s="26">
        <f t="shared" si="5"/>
        <v>0</v>
      </c>
      <c r="BF29" s="26">
        <f t="shared" si="5"/>
        <v>0</v>
      </c>
      <c r="BG29" s="26">
        <f t="shared" si="5"/>
        <v>0</v>
      </c>
      <c r="BH29" s="26">
        <f t="shared" si="5"/>
        <v>0</v>
      </c>
    </row>
    <row r="30" spans="1:60" ht="12.75" customHeight="1">
      <c r="A30" s="21" t="s">
        <v>110</v>
      </c>
      <c r="B30" s="5">
        <f>'BS'!C38-'BS'!B38</f>
        <v>-4000</v>
      </c>
      <c r="C30" s="5">
        <f>'BS'!D38-'BS'!C38</f>
        <v>-3000</v>
      </c>
      <c r="D30" s="5">
        <f>'BS'!E38-'BS'!D38</f>
        <v>-4000</v>
      </c>
      <c r="E30" s="5">
        <f>'BS'!F38-'BS'!E38</f>
        <v>-5000</v>
      </c>
      <c r="F30" s="5">
        <f>'BS'!G38-'BS'!F38</f>
        <v>-3000</v>
      </c>
      <c r="G30" s="5">
        <f>'BS'!H38-'BS'!G38</f>
        <v>24000</v>
      </c>
      <c r="H30" s="5">
        <f>'BS'!I38-'BS'!H38</f>
        <v>-5000</v>
      </c>
      <c r="I30" s="5">
        <f>'BS'!J38-'BS'!I38</f>
        <v>35000</v>
      </c>
      <c r="J30" s="5">
        <f>'BS'!K38-'BS'!J38</f>
        <v>-5000</v>
      </c>
      <c r="K30" s="5">
        <f>'BS'!L38-'BS'!K38</f>
        <v>23000</v>
      </c>
      <c r="L30" s="5">
        <f>'BS'!M38-'BS'!L38</f>
        <v>-2000</v>
      </c>
      <c r="M30" s="5">
        <f>'BS'!N38-'BS'!M38</f>
        <v>-4000</v>
      </c>
      <c r="N30" s="5">
        <f>'BS'!O38-'BS'!N38</f>
        <v>-5000</v>
      </c>
      <c r="O30" s="5">
        <f>'BS'!P38-'BS'!O38</f>
        <v>-5000</v>
      </c>
      <c r="P30" s="5">
        <f>'BS'!Q38-'BS'!P38</f>
        <v>69000</v>
      </c>
      <c r="Q30" s="5">
        <f>'BS'!R38-'BS'!Q38</f>
        <v>-2000</v>
      </c>
      <c r="R30" s="5">
        <f>'BS'!S38-'BS'!R38</f>
        <v>-7000</v>
      </c>
      <c r="S30" s="5">
        <f>'BS'!T38-'BS'!S38</f>
        <v>-8000</v>
      </c>
      <c r="T30" s="5">
        <f>'BS'!U38-'BS'!T38</f>
        <v>-7000</v>
      </c>
      <c r="U30" s="5">
        <f>'BS'!V38-'BS'!U38</f>
        <v>-8000</v>
      </c>
      <c r="V30" s="5">
        <f>'BS'!W38-'BS'!V38</f>
        <v>19000</v>
      </c>
      <c r="W30" s="5">
        <f>'BS'!X38-'BS'!W38</f>
        <v>-7000</v>
      </c>
      <c r="X30" s="5">
        <f>'BS'!Y38-'BS'!X38</f>
        <v>-8000</v>
      </c>
      <c r="Y30" s="5">
        <f>'BS'!Z38-'BS'!Y38</f>
        <v>-8000</v>
      </c>
      <c r="Z30" s="5">
        <f>'BS'!AA38-'BS'!Z38</f>
        <v>-8000</v>
      </c>
      <c r="AA30" s="5">
        <f>'BS'!AB38-'BS'!AA38</f>
        <v>-8000</v>
      </c>
      <c r="AB30" s="5">
        <f>'BS'!AC38-'BS'!AB38</f>
        <v>-8000</v>
      </c>
      <c r="AC30" s="5">
        <f>'BS'!AD38-'BS'!AC38</f>
        <v>69000</v>
      </c>
      <c r="AD30" s="5">
        <f>'BS'!AE38-'BS'!AD38</f>
        <v>-9000</v>
      </c>
      <c r="AE30" s="5">
        <f>'BS'!AF38-'BS'!AE38</f>
        <v>-10000</v>
      </c>
      <c r="AF30" s="5">
        <f>'BS'!AG38-'BS'!AF38</f>
        <v>-9000</v>
      </c>
      <c r="AG30" s="5">
        <f>'BS'!AH38-'BS'!AG38</f>
        <v>-10000</v>
      </c>
      <c r="AH30" s="5">
        <f>'BS'!AI38-'BS'!AH38</f>
        <v>-10000</v>
      </c>
      <c r="AI30" s="5">
        <f>'BS'!AJ38-'BS'!AI38</f>
        <v>-9000</v>
      </c>
      <c r="AJ30" s="5">
        <f>'BS'!AK38-'BS'!AJ38</f>
        <v>-10000</v>
      </c>
      <c r="AK30" s="5">
        <f>'BS'!AL38-'BS'!AK38</f>
        <v>-10000</v>
      </c>
      <c r="AL30" s="5">
        <f>'BS'!AM38-'BS'!AL38</f>
        <v>-10000</v>
      </c>
      <c r="AM30" s="5">
        <f>'BS'!AN38-'BS'!AM38</f>
        <v>-10000</v>
      </c>
      <c r="AN30" s="5">
        <f>'BS'!AO38-'BS'!AN38</f>
        <v>12000</v>
      </c>
      <c r="AO30" s="5">
        <f>'BS'!AP38-'BS'!AO38</f>
        <v>-12000</v>
      </c>
      <c r="AP30" s="5">
        <f>'BS'!AQ38-'BS'!AP38</f>
        <v>-11000</v>
      </c>
      <c r="AQ30" s="5">
        <f>'BS'!AR38-'BS'!AQ38</f>
        <v>-11000</v>
      </c>
      <c r="AR30" s="5">
        <f>'BS'!AS38-'BS'!AR38</f>
        <v>-11000</v>
      </c>
      <c r="AS30" s="5">
        <f>'BS'!AT38-'BS'!AS38</f>
        <v>-11000</v>
      </c>
      <c r="AT30" s="5">
        <f>'BS'!AU38-'BS'!AT38</f>
        <v>-11000</v>
      </c>
      <c r="AU30" s="5">
        <f>'BS'!AV38-'BS'!AU38</f>
        <v>24000</v>
      </c>
      <c r="AV30" s="5">
        <f>'BS'!AW38-'BS'!AV38</f>
        <v>13000</v>
      </c>
      <c r="AW30" s="34">
        <v>-10000</v>
      </c>
      <c r="AX30" s="34">
        <v>-10000</v>
      </c>
      <c r="AY30" s="34">
        <v>-10000</v>
      </c>
      <c r="AZ30" s="34">
        <v>-10000</v>
      </c>
      <c r="BA30" s="34">
        <v>-10000</v>
      </c>
      <c r="BB30" s="34">
        <v>-10000</v>
      </c>
      <c r="BC30" s="34">
        <v>-10000</v>
      </c>
      <c r="BD30" s="34">
        <v>-10000</v>
      </c>
      <c r="BE30" s="34">
        <v>-10000</v>
      </c>
      <c r="BF30" s="34">
        <v>-10000</v>
      </c>
      <c r="BG30" s="34">
        <v>-10000</v>
      </c>
      <c r="BH30" s="34">
        <v>-10000</v>
      </c>
    </row>
    <row r="31" spans="1:60" ht="12.75">
      <c r="A31" s="21" t="s">
        <v>75</v>
      </c>
      <c r="B31" s="5">
        <f>'BS'!C46-'BS'!B46+'BS'!C47-'BS'!B47</f>
        <v>-2000</v>
      </c>
      <c r="C31" s="5">
        <f>'BS'!D46-'BS'!C46+'BS'!D47-'BS'!C47</f>
        <v>-3000</v>
      </c>
      <c r="D31" s="5">
        <f>'BS'!E46-'BS'!D46+'BS'!E47-'BS'!D47</f>
        <v>-14000</v>
      </c>
      <c r="E31" s="5">
        <f>'BS'!F46-'BS'!E46+'BS'!F47-'BS'!E47</f>
        <v>-4000</v>
      </c>
      <c r="F31" s="5">
        <f>'BS'!G46-'BS'!F46+'BS'!G47-'BS'!F47</f>
        <v>-3000</v>
      </c>
      <c r="G31" s="5">
        <f>'BS'!H46-'BS'!G46+'BS'!H47-'BS'!G47</f>
        <v>-4000</v>
      </c>
      <c r="H31" s="5">
        <f>'BS'!I46-'BS'!H46+'BS'!I47-'BS'!H47</f>
        <v>-4000</v>
      </c>
      <c r="I31" s="5">
        <f>'BS'!J46-'BS'!I46+'BS'!J47-'BS'!I47</f>
        <v>-3000</v>
      </c>
      <c r="J31" s="5">
        <f>'BS'!K46-'BS'!J46+'BS'!K47-'BS'!J47</f>
        <v>-4000</v>
      </c>
      <c r="K31" s="5">
        <f>'BS'!L46-'BS'!K46+'BS'!L47-'BS'!K47</f>
        <v>-4000</v>
      </c>
      <c r="L31" s="5">
        <f>'BS'!M46-'BS'!L46+'BS'!M47-'BS'!L47</f>
        <v>-2000</v>
      </c>
      <c r="M31" s="5">
        <f>'BS'!N46-'BS'!M46+'BS'!N47-'BS'!M47-'BS'!M48</f>
        <v>-9000</v>
      </c>
      <c r="N31" s="5">
        <f>'BS'!O46-'BS'!N46+'BS'!O47-'BS'!N47</f>
        <v>-10000</v>
      </c>
      <c r="O31" s="5">
        <f>'BS'!P46-'BS'!O46+'BS'!P47-'BS'!O47</f>
        <v>-10000</v>
      </c>
      <c r="P31" s="5">
        <f>'BS'!Q46-'BS'!P46+'BS'!Q47-'BS'!P47</f>
        <v>-10000</v>
      </c>
      <c r="Q31" s="5">
        <f>'BS'!R46-'BS'!Q46+'BS'!R47-'BS'!Q47</f>
        <v>-10000</v>
      </c>
      <c r="R31" s="5">
        <f>'BS'!S46-'BS'!R46+'BS'!S47-'BS'!R47</f>
        <v>-10000</v>
      </c>
      <c r="S31" s="5">
        <f>'BS'!T46-'BS'!S46+'BS'!T47-'BS'!S47</f>
        <v>-10000</v>
      </c>
      <c r="T31" s="5">
        <f>'BS'!U46-'BS'!T46+'BS'!U47-'BS'!T47</f>
        <v>-10000</v>
      </c>
      <c r="U31" s="5">
        <f>'BS'!V46-'BS'!U46+'BS'!V47-'BS'!U47</f>
        <v>-10000</v>
      </c>
      <c r="V31" s="5">
        <f>'BS'!W46-'BS'!V46+'BS'!W47-'BS'!V47</f>
        <v>-10000</v>
      </c>
      <c r="W31" s="5">
        <f>'BS'!X46-'BS'!W46+'BS'!X47-'BS'!W47</f>
        <v>-10000</v>
      </c>
      <c r="X31" s="5">
        <f>'BS'!Y46-'BS'!X46+'BS'!Y47-'BS'!X47</f>
        <v>-10000</v>
      </c>
      <c r="Y31" s="5">
        <f>'BS'!Z46-'BS'!Y46+'BS'!Z47-'BS'!Y47-'BS'!Y48</f>
        <v>-1000</v>
      </c>
      <c r="Z31" s="5">
        <f>'BS'!AA46-'BS'!Z46+'BS'!AA47-'BS'!Z47</f>
        <v>-4000</v>
      </c>
      <c r="AA31" s="5">
        <f>'BS'!AB46-'BS'!AA46+'BS'!AB47-'BS'!AA47</f>
        <v>-2000</v>
      </c>
      <c r="AB31" s="5">
        <f>'BS'!AC46-'BS'!AB46+'BS'!AC47-'BS'!AB47</f>
        <v>-10000</v>
      </c>
      <c r="AC31" s="5">
        <f>'BS'!AD46-'BS'!AC46+'BS'!AD47-'BS'!AC47</f>
        <v>-6000</v>
      </c>
      <c r="AD31" s="5">
        <f>'BS'!AE46-'BS'!AD46+'BS'!AE47-'BS'!AD47</f>
        <v>0</v>
      </c>
      <c r="AE31" s="5">
        <f>'BS'!AF46-'BS'!AE46+'BS'!AF47-'BS'!AE47</f>
        <v>-11000</v>
      </c>
      <c r="AF31" s="5">
        <f>'BS'!AG46-'BS'!AF46+'BS'!AG47-'BS'!AF47</f>
        <v>-15000</v>
      </c>
      <c r="AG31" s="5">
        <f>'BS'!AH46-'BS'!AG46+'BS'!AH47-'BS'!AG47</f>
        <v>-1000</v>
      </c>
      <c r="AH31" s="5">
        <f>'BS'!AI46-'BS'!AH46+'BS'!AI47-'BS'!AH47</f>
        <v>-10000</v>
      </c>
      <c r="AI31" s="5">
        <f>'BS'!AJ46-'BS'!AI46+'BS'!AJ47-'BS'!AI47</f>
        <v>0</v>
      </c>
      <c r="AJ31" s="5">
        <f>'BS'!AK46-'BS'!AJ46+'BS'!AK47-'BS'!AJ47</f>
        <v>-6000</v>
      </c>
      <c r="AK31" s="5">
        <f>'BS'!AL46-'BS'!AK46+'BS'!AL47-'BS'!AK47-'BS'!AK48</f>
        <v>-30000</v>
      </c>
      <c r="AL31" s="5">
        <f>'BS'!AM46-'BS'!AL46+'BS'!AM47-'BS'!AL47</f>
        <v>0</v>
      </c>
      <c r="AM31" s="5">
        <f>'BS'!AN46-'BS'!AM46+'BS'!AN47-'BS'!AM47</f>
        <v>0</v>
      </c>
      <c r="AN31" s="5">
        <f>'BS'!AO46-'BS'!AN46+'BS'!AO47-'BS'!AN47</f>
        <v>0</v>
      </c>
      <c r="AO31" s="5">
        <f>'BS'!AP46-'BS'!AO46+'BS'!AP47-'BS'!AO47</f>
        <v>0</v>
      </c>
      <c r="AP31" s="5">
        <f>'BS'!AQ46-'BS'!AP46+'BS'!AQ47-'BS'!AP47</f>
        <v>-15000</v>
      </c>
      <c r="AQ31" s="5">
        <f>'BS'!AR46-'BS'!AQ46+'BS'!AR47-'BS'!AQ47</f>
        <v>0</v>
      </c>
      <c r="AR31" s="5">
        <f>'BS'!AS46-'BS'!AR46+'BS'!AS47-'BS'!AR47</f>
        <v>0</v>
      </c>
      <c r="AS31" s="5">
        <f>'BS'!AT46-'BS'!AS46+'BS'!AT47-'BS'!AS47</f>
        <v>-45000</v>
      </c>
      <c r="AT31" s="5">
        <f>'BS'!AU46-'BS'!AT46+'BS'!AU47-'BS'!AT47</f>
        <v>0</v>
      </c>
      <c r="AU31" s="5">
        <f>'BS'!AV46-'BS'!AU46+'BS'!AV47-'BS'!AU47</f>
        <v>0</v>
      </c>
      <c r="AV31" s="5">
        <f>'BS'!AW46-'BS'!AV46+'BS'!AW47-'BS'!AV47</f>
        <v>-110000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</row>
    <row r="32" s="9" customFormat="1" ht="12.75" customHeight="1">
      <c r="A32" s="23"/>
    </row>
    <row r="33" spans="1:60" ht="12.75">
      <c r="A33" s="32" t="s">
        <v>76</v>
      </c>
      <c r="B33" s="5">
        <f aca="true" t="shared" si="6" ref="B33:AG33">SUM(B29:B31)</f>
        <v>-6000</v>
      </c>
      <c r="C33" s="5">
        <f t="shared" si="6"/>
        <v>-6000</v>
      </c>
      <c r="D33" s="5">
        <f t="shared" si="6"/>
        <v>-18000</v>
      </c>
      <c r="E33" s="5">
        <f t="shared" si="6"/>
        <v>-9000</v>
      </c>
      <c r="F33" s="5">
        <f t="shared" si="6"/>
        <v>-6000</v>
      </c>
      <c r="G33" s="5">
        <f t="shared" si="6"/>
        <v>20000</v>
      </c>
      <c r="H33" s="5">
        <f t="shared" si="6"/>
        <v>-9000</v>
      </c>
      <c r="I33" s="5">
        <f t="shared" si="6"/>
        <v>32000</v>
      </c>
      <c r="J33" s="5">
        <f t="shared" si="6"/>
        <v>-9000</v>
      </c>
      <c r="K33" s="5">
        <f t="shared" si="6"/>
        <v>19000</v>
      </c>
      <c r="L33" s="5">
        <f t="shared" si="6"/>
        <v>36000</v>
      </c>
      <c r="M33" s="5">
        <f t="shared" si="6"/>
        <v>-53000</v>
      </c>
      <c r="N33" s="5">
        <f t="shared" si="6"/>
        <v>-15000</v>
      </c>
      <c r="O33" s="5">
        <f t="shared" si="6"/>
        <v>-15000</v>
      </c>
      <c r="P33" s="5">
        <f t="shared" si="6"/>
        <v>59000</v>
      </c>
      <c r="Q33" s="5">
        <f t="shared" si="6"/>
        <v>-12000</v>
      </c>
      <c r="R33" s="5">
        <f t="shared" si="6"/>
        <v>-17000</v>
      </c>
      <c r="S33" s="5">
        <f t="shared" si="6"/>
        <v>-18000</v>
      </c>
      <c r="T33" s="5">
        <f t="shared" si="6"/>
        <v>-17000</v>
      </c>
      <c r="U33" s="5">
        <f t="shared" si="6"/>
        <v>-18000</v>
      </c>
      <c r="V33" s="5">
        <f t="shared" si="6"/>
        <v>9000</v>
      </c>
      <c r="W33" s="5">
        <f t="shared" si="6"/>
        <v>-17000</v>
      </c>
      <c r="X33" s="5">
        <f t="shared" si="6"/>
        <v>42000</v>
      </c>
      <c r="Y33" s="5">
        <f t="shared" si="6"/>
        <v>-69000</v>
      </c>
      <c r="Z33" s="5">
        <f t="shared" si="6"/>
        <v>-12000</v>
      </c>
      <c r="AA33" s="5">
        <f t="shared" si="6"/>
        <v>-10000</v>
      </c>
      <c r="AB33" s="5">
        <f t="shared" si="6"/>
        <v>-18000</v>
      </c>
      <c r="AC33" s="5">
        <f t="shared" si="6"/>
        <v>63000</v>
      </c>
      <c r="AD33" s="5">
        <f t="shared" si="6"/>
        <v>-9000</v>
      </c>
      <c r="AE33" s="5">
        <f t="shared" si="6"/>
        <v>-21000</v>
      </c>
      <c r="AF33" s="5">
        <f t="shared" si="6"/>
        <v>-24000</v>
      </c>
      <c r="AG33" s="5">
        <f t="shared" si="6"/>
        <v>-11000</v>
      </c>
      <c r="AH33" s="5">
        <f aca="true" t="shared" si="7" ref="AH33:BH33">SUM(AH29:AH31)</f>
        <v>-20000</v>
      </c>
      <c r="AI33" s="5">
        <f t="shared" si="7"/>
        <v>-9000</v>
      </c>
      <c r="AJ33" s="5">
        <f t="shared" si="7"/>
        <v>-16000</v>
      </c>
      <c r="AK33" s="5">
        <f t="shared" si="7"/>
        <v>-40000</v>
      </c>
      <c r="AL33" s="5">
        <f t="shared" si="7"/>
        <v>-10000</v>
      </c>
      <c r="AM33" s="5">
        <f t="shared" si="7"/>
        <v>-10000</v>
      </c>
      <c r="AN33" s="5">
        <f t="shared" si="7"/>
        <v>12000</v>
      </c>
      <c r="AO33" s="5">
        <f t="shared" si="7"/>
        <v>-12000</v>
      </c>
      <c r="AP33" s="5">
        <f t="shared" si="7"/>
        <v>-26000</v>
      </c>
      <c r="AQ33" s="5">
        <f t="shared" si="7"/>
        <v>-11000</v>
      </c>
      <c r="AR33" s="5">
        <f t="shared" si="7"/>
        <v>-11000</v>
      </c>
      <c r="AS33" s="5">
        <f t="shared" si="7"/>
        <v>-56000</v>
      </c>
      <c r="AT33" s="5">
        <f t="shared" si="7"/>
        <v>-11000</v>
      </c>
      <c r="AU33" s="5">
        <f t="shared" si="7"/>
        <v>24000</v>
      </c>
      <c r="AV33" s="5">
        <f t="shared" si="7"/>
        <v>-97000</v>
      </c>
      <c r="AW33" s="5">
        <f t="shared" si="7"/>
        <v>-10000</v>
      </c>
      <c r="AX33" s="5">
        <f t="shared" si="7"/>
        <v>-10000</v>
      </c>
      <c r="AY33" s="5">
        <f t="shared" si="7"/>
        <v>-10000</v>
      </c>
      <c r="AZ33" s="5">
        <f t="shared" si="7"/>
        <v>-10000</v>
      </c>
      <c r="BA33" s="5">
        <f t="shared" si="7"/>
        <v>-10000</v>
      </c>
      <c r="BB33" s="5">
        <f t="shared" si="7"/>
        <v>-10000</v>
      </c>
      <c r="BC33" s="5">
        <f t="shared" si="7"/>
        <v>-10000</v>
      </c>
      <c r="BD33" s="5">
        <f t="shared" si="7"/>
        <v>-10000</v>
      </c>
      <c r="BE33" s="5">
        <f t="shared" si="7"/>
        <v>-10000</v>
      </c>
      <c r="BF33" s="5">
        <f t="shared" si="7"/>
        <v>-10000</v>
      </c>
      <c r="BG33" s="5">
        <f t="shared" si="7"/>
        <v>-10000</v>
      </c>
      <c r="BH33" s="5">
        <f t="shared" si="7"/>
        <v>-10000</v>
      </c>
    </row>
    <row r="34" ht="12.75">
      <c r="A34" s="33"/>
    </row>
    <row r="35" spans="1:60" ht="12.75">
      <c r="A35" s="32" t="s">
        <v>77</v>
      </c>
      <c r="B35" s="5">
        <f aca="true" t="shared" si="8" ref="B35:AG35">B26+B33</f>
        <v>66537</v>
      </c>
      <c r="C35" s="5">
        <f t="shared" si="8"/>
        <v>-9445</v>
      </c>
      <c r="D35" s="5">
        <f t="shared" si="8"/>
        <v>-68422</v>
      </c>
      <c r="E35" s="5">
        <f t="shared" si="8"/>
        <v>-26393</v>
      </c>
      <c r="F35" s="5">
        <f t="shared" si="8"/>
        <v>7625</v>
      </c>
      <c r="G35" s="5">
        <f t="shared" si="8"/>
        <v>89485</v>
      </c>
      <c r="H35" s="5">
        <f t="shared" si="8"/>
        <v>-24486</v>
      </c>
      <c r="I35" s="5">
        <f t="shared" si="8"/>
        <v>50480</v>
      </c>
      <c r="J35" s="5">
        <f t="shared" si="8"/>
        <v>-7661</v>
      </c>
      <c r="K35" s="5">
        <f t="shared" si="8"/>
        <v>27207</v>
      </c>
      <c r="L35" s="5">
        <f t="shared" si="8"/>
        <v>-114017</v>
      </c>
      <c r="M35" s="5">
        <f t="shared" si="8"/>
        <v>19240</v>
      </c>
      <c r="N35" s="5">
        <f t="shared" si="8"/>
        <v>49269</v>
      </c>
      <c r="O35" s="5">
        <f t="shared" si="8"/>
        <v>21298</v>
      </c>
      <c r="P35" s="5">
        <f t="shared" si="8"/>
        <v>-4104</v>
      </c>
      <c r="Q35" s="5">
        <f t="shared" si="8"/>
        <v>26907</v>
      </c>
      <c r="R35" s="5">
        <f t="shared" si="8"/>
        <v>-57052</v>
      </c>
      <c r="S35" s="5">
        <f t="shared" si="8"/>
        <v>11995</v>
      </c>
      <c r="T35" s="5">
        <f t="shared" si="8"/>
        <v>-54964</v>
      </c>
      <c r="U35" s="5">
        <f t="shared" si="8"/>
        <v>-15918</v>
      </c>
      <c r="V35" s="5">
        <f t="shared" si="8"/>
        <v>25972</v>
      </c>
      <c r="W35" s="5">
        <f t="shared" si="8"/>
        <v>-15988</v>
      </c>
      <c r="X35" s="5">
        <f t="shared" si="8"/>
        <v>-46291</v>
      </c>
      <c r="Y35" s="5">
        <f t="shared" si="8"/>
        <v>120106</v>
      </c>
      <c r="Z35" s="5">
        <f t="shared" si="8"/>
        <v>80152</v>
      </c>
      <c r="AA35" s="5">
        <f t="shared" si="8"/>
        <v>70199</v>
      </c>
      <c r="AB35" s="5">
        <f t="shared" si="8"/>
        <v>-116754</v>
      </c>
      <c r="AC35" s="5">
        <f t="shared" si="8"/>
        <v>-13157</v>
      </c>
      <c r="AD35" s="5">
        <f t="shared" si="8"/>
        <v>69896</v>
      </c>
      <c r="AE35" s="5">
        <f t="shared" si="8"/>
        <v>9054</v>
      </c>
      <c r="AF35" s="5">
        <f t="shared" si="8"/>
        <v>-10918</v>
      </c>
      <c r="AG35" s="5">
        <f t="shared" si="8"/>
        <v>10065</v>
      </c>
      <c r="AH35" s="5">
        <f aca="true" t="shared" si="9" ref="AH35:BH35">AH26+AH33</f>
        <v>-21877</v>
      </c>
      <c r="AI35" s="5">
        <f t="shared" si="9"/>
        <v>73176</v>
      </c>
      <c r="AJ35" s="5">
        <f t="shared" si="9"/>
        <v>-99766</v>
      </c>
      <c r="AK35" s="5">
        <f t="shared" si="9"/>
        <v>43292</v>
      </c>
      <c r="AL35" s="5">
        <f t="shared" si="9"/>
        <v>152351</v>
      </c>
      <c r="AM35" s="5">
        <f t="shared" si="9"/>
        <v>-56591</v>
      </c>
      <c r="AN35" s="5">
        <f t="shared" si="9"/>
        <v>-51661</v>
      </c>
      <c r="AO35" s="5">
        <f t="shared" si="9"/>
        <v>-14591</v>
      </c>
      <c r="AP35" s="5">
        <f t="shared" si="9"/>
        <v>38473</v>
      </c>
      <c r="AQ35" s="5">
        <f t="shared" si="9"/>
        <v>42537</v>
      </c>
      <c r="AR35" s="5">
        <f t="shared" si="9"/>
        <v>22602</v>
      </c>
      <c r="AS35" s="5">
        <f t="shared" si="9"/>
        <v>-60334</v>
      </c>
      <c r="AT35" s="5">
        <f t="shared" si="9"/>
        <v>37730</v>
      </c>
      <c r="AU35" s="5">
        <f t="shared" si="9"/>
        <v>2590</v>
      </c>
      <c r="AV35" s="5">
        <f t="shared" si="9"/>
        <v>-126486</v>
      </c>
      <c r="AW35" s="5">
        <f t="shared" si="9"/>
        <v>6270.124522536324</v>
      </c>
      <c r="AX35" s="5">
        <f t="shared" si="9"/>
        <v>-50788.82977984584</v>
      </c>
      <c r="AY35" s="5">
        <f t="shared" si="9"/>
        <v>36753.77393000777</v>
      </c>
      <c r="AZ35" s="5">
        <f t="shared" si="9"/>
        <v>13721.658649389683</v>
      </c>
      <c r="BA35" s="5">
        <f t="shared" si="9"/>
        <v>-60577.63517851152</v>
      </c>
      <c r="BB35" s="5">
        <f t="shared" si="9"/>
        <v>55264.218460722375</v>
      </c>
      <c r="BC35" s="5">
        <f t="shared" si="9"/>
        <v>19821.249015975198</v>
      </c>
      <c r="BD35" s="5">
        <f t="shared" si="9"/>
        <v>99784.23498457804</v>
      </c>
      <c r="BE35" s="5">
        <f t="shared" si="9"/>
        <v>-18413.168404906537</v>
      </c>
      <c r="BF35" s="5">
        <f t="shared" si="9"/>
        <v>136473.8781648537</v>
      </c>
      <c r="BG35" s="5">
        <f t="shared" si="9"/>
        <v>1253.1581508106392</v>
      </c>
      <c r="BH35" s="5">
        <f t="shared" si="9"/>
        <v>-12856.949167794097</v>
      </c>
    </row>
    <row r="36" ht="12.75">
      <c r="A36" s="32"/>
    </row>
    <row r="37" spans="1:60" ht="12.75">
      <c r="A37" s="21" t="s">
        <v>78</v>
      </c>
      <c r="B37" s="5">
        <f>'BS'!B8</f>
        <v>77114</v>
      </c>
      <c r="C37" s="5">
        <f>'BS'!C8</f>
        <v>143651</v>
      </c>
      <c r="D37" s="5">
        <f>'BS'!D8</f>
        <v>134206</v>
      </c>
      <c r="E37" s="5">
        <f>'BS'!E8</f>
        <v>65784</v>
      </c>
      <c r="F37" s="5">
        <f>'BS'!F8</f>
        <v>39391</v>
      </c>
      <c r="G37" s="5">
        <f>'BS'!G8</f>
        <v>47016</v>
      </c>
      <c r="H37" s="5">
        <f>'BS'!H8</f>
        <v>136501</v>
      </c>
      <c r="I37" s="5">
        <f>'BS'!I8</f>
        <v>112015</v>
      </c>
      <c r="J37" s="5">
        <f>'BS'!J8</f>
        <v>162495</v>
      </c>
      <c r="K37" s="5">
        <f>'BS'!K8</f>
        <v>154834</v>
      </c>
      <c r="L37" s="5">
        <f>'BS'!L8</f>
        <v>182041</v>
      </c>
      <c r="M37" s="5">
        <f>'BS'!M8</f>
        <v>68024</v>
      </c>
      <c r="N37" s="5">
        <f>'BS'!N8</f>
        <v>87264</v>
      </c>
      <c r="O37" s="5">
        <f>'BS'!O8</f>
        <v>136533</v>
      </c>
      <c r="P37" s="5">
        <f>'BS'!P8</f>
        <v>157831</v>
      </c>
      <c r="Q37" s="5">
        <f>'BS'!Q8</f>
        <v>153727</v>
      </c>
      <c r="R37" s="5">
        <f>'BS'!R8</f>
        <v>180634</v>
      </c>
      <c r="S37" s="5">
        <f>'BS'!S8</f>
        <v>123582</v>
      </c>
      <c r="T37" s="5">
        <f>'BS'!T8</f>
        <v>135577</v>
      </c>
      <c r="U37" s="5">
        <f>'BS'!U8</f>
        <v>80613</v>
      </c>
      <c r="V37" s="5">
        <f>'BS'!V8</f>
        <v>64695</v>
      </c>
      <c r="W37" s="5">
        <f>'BS'!W8</f>
        <v>90667</v>
      </c>
      <c r="X37" s="5">
        <f>'BS'!X8</f>
        <v>74679</v>
      </c>
      <c r="Y37" s="5">
        <f>'BS'!Y8</f>
        <v>28388</v>
      </c>
      <c r="Z37" s="5">
        <f>'BS'!Z8</f>
        <v>148494</v>
      </c>
      <c r="AA37" s="5">
        <f>'BS'!AA8</f>
        <v>228646</v>
      </c>
      <c r="AB37" s="5">
        <f>'BS'!AB8</f>
        <v>298845</v>
      </c>
      <c r="AC37" s="5">
        <f>'BS'!AC8</f>
        <v>182091</v>
      </c>
      <c r="AD37" s="5">
        <f>'BS'!AD8</f>
        <v>168934</v>
      </c>
      <c r="AE37" s="5">
        <f>'BS'!AE8</f>
        <v>238830</v>
      </c>
      <c r="AF37" s="5">
        <f>'BS'!AF8</f>
        <v>247884</v>
      </c>
      <c r="AG37" s="5">
        <f>'BS'!AG8</f>
        <v>236966</v>
      </c>
      <c r="AH37" s="5">
        <f>'BS'!AH8</f>
        <v>247031</v>
      </c>
      <c r="AI37" s="5">
        <f>'BS'!AI8</f>
        <v>225154</v>
      </c>
      <c r="AJ37" s="5">
        <f>'BS'!AJ8</f>
        <v>298330</v>
      </c>
      <c r="AK37" s="5">
        <f>'BS'!AK8</f>
        <v>198564</v>
      </c>
      <c r="AL37" s="5">
        <f>'BS'!AL8</f>
        <v>241856</v>
      </c>
      <c r="AM37" s="5">
        <f>'BS'!AM8</f>
        <v>394207</v>
      </c>
      <c r="AN37" s="5">
        <f>'BS'!AN8</f>
        <v>337616</v>
      </c>
      <c r="AO37" s="5">
        <f>'BS'!AO8</f>
        <v>285955</v>
      </c>
      <c r="AP37" s="5">
        <f>'BS'!AP8</f>
        <v>271364</v>
      </c>
      <c r="AQ37" s="5">
        <f>'BS'!AQ8</f>
        <v>309837</v>
      </c>
      <c r="AR37" s="5">
        <f>'BS'!AR8</f>
        <v>352374</v>
      </c>
      <c r="AS37" s="5">
        <f>'BS'!AS8</f>
        <v>374976</v>
      </c>
      <c r="AT37" s="5">
        <f>'BS'!AT8</f>
        <v>314642</v>
      </c>
      <c r="AU37" s="5">
        <f>'BS'!AU8</f>
        <v>352372</v>
      </c>
      <c r="AV37" s="5">
        <f>'BS'!AV8</f>
        <v>354962</v>
      </c>
      <c r="AW37" s="5">
        <f>'BS'!AW8</f>
        <v>228476</v>
      </c>
      <c r="AX37" s="5">
        <f>'BS'!AX8</f>
        <v>234746.12452253632</v>
      </c>
      <c r="AY37" s="5">
        <f>'BS'!AY8</f>
        <v>183957.2947426905</v>
      </c>
      <c r="AZ37" s="5">
        <f>'BS'!AZ8</f>
        <v>220711.06867269825</v>
      </c>
      <c r="BA37" s="5">
        <f>'BS'!BA8</f>
        <v>234432.72732208794</v>
      </c>
      <c r="BB37" s="5">
        <f>'BS'!BB8</f>
        <v>173855.09214357642</v>
      </c>
      <c r="BC37" s="5">
        <f>'BS'!BC8</f>
        <v>229119.31060429878</v>
      </c>
      <c r="BD37" s="5">
        <f>'BS'!BD8</f>
        <v>248940.55962027397</v>
      </c>
      <c r="BE37" s="5">
        <f>'BS'!BE8</f>
        <v>348724.794604852</v>
      </c>
      <c r="BF37" s="5">
        <f>'BS'!BF8</f>
        <v>330311.62619994546</v>
      </c>
      <c r="BG37" s="5">
        <f>'BS'!BG8</f>
        <v>466785.5043647991</v>
      </c>
      <c r="BH37" s="5">
        <f>'BS'!BH8</f>
        <v>468038.66251560976</v>
      </c>
    </row>
    <row r="38" ht="12.75">
      <c r="A38" s="21"/>
    </row>
    <row r="39" spans="1:60" ht="13.5" thickBot="1">
      <c r="A39" s="21" t="s">
        <v>79</v>
      </c>
      <c r="B39" s="37">
        <f>B35+B37</f>
        <v>143651</v>
      </c>
      <c r="C39" s="37">
        <f>C35+C37</f>
        <v>134206</v>
      </c>
      <c r="D39" s="37">
        <f aca="true" t="shared" si="10" ref="D39:AG39">D35+D37</f>
        <v>65784</v>
      </c>
      <c r="E39" s="37">
        <f t="shared" si="10"/>
        <v>39391</v>
      </c>
      <c r="F39" s="37">
        <f t="shared" si="10"/>
        <v>47016</v>
      </c>
      <c r="G39" s="37">
        <f t="shared" si="10"/>
        <v>136501</v>
      </c>
      <c r="H39" s="37">
        <f t="shared" si="10"/>
        <v>112015</v>
      </c>
      <c r="I39" s="37">
        <f t="shared" si="10"/>
        <v>162495</v>
      </c>
      <c r="J39" s="37">
        <f t="shared" si="10"/>
        <v>154834</v>
      </c>
      <c r="K39" s="37">
        <f t="shared" si="10"/>
        <v>182041</v>
      </c>
      <c r="L39" s="37">
        <f t="shared" si="10"/>
        <v>68024</v>
      </c>
      <c r="M39" s="37">
        <f t="shared" si="10"/>
        <v>87264</v>
      </c>
      <c r="N39" s="37">
        <f t="shared" si="10"/>
        <v>136533</v>
      </c>
      <c r="O39" s="37">
        <f t="shared" si="10"/>
        <v>157831</v>
      </c>
      <c r="P39" s="37">
        <f t="shared" si="10"/>
        <v>153727</v>
      </c>
      <c r="Q39" s="37">
        <f t="shared" si="10"/>
        <v>180634</v>
      </c>
      <c r="R39" s="37">
        <f t="shared" si="10"/>
        <v>123582</v>
      </c>
      <c r="S39" s="37">
        <f t="shared" si="10"/>
        <v>135577</v>
      </c>
      <c r="T39" s="37">
        <f t="shared" si="10"/>
        <v>80613</v>
      </c>
      <c r="U39" s="37">
        <f t="shared" si="10"/>
        <v>64695</v>
      </c>
      <c r="V39" s="37">
        <f t="shared" si="10"/>
        <v>90667</v>
      </c>
      <c r="W39" s="37">
        <f>W35+W37</f>
        <v>74679</v>
      </c>
      <c r="X39" s="37">
        <f t="shared" si="10"/>
        <v>28388</v>
      </c>
      <c r="Y39" s="37">
        <f>Y35+Y37</f>
        <v>148494</v>
      </c>
      <c r="Z39" s="37">
        <f t="shared" si="10"/>
        <v>228646</v>
      </c>
      <c r="AA39" s="37">
        <f t="shared" si="10"/>
        <v>298845</v>
      </c>
      <c r="AB39" s="37">
        <f t="shared" si="10"/>
        <v>182091</v>
      </c>
      <c r="AC39" s="37">
        <f t="shared" si="10"/>
        <v>168934</v>
      </c>
      <c r="AD39" s="37">
        <f t="shared" si="10"/>
        <v>238830</v>
      </c>
      <c r="AE39" s="37">
        <f t="shared" si="10"/>
        <v>247884</v>
      </c>
      <c r="AF39" s="37">
        <f t="shared" si="10"/>
        <v>236966</v>
      </c>
      <c r="AG39" s="37">
        <f t="shared" si="10"/>
        <v>247031</v>
      </c>
      <c r="AH39" s="37">
        <f aca="true" t="shared" si="11" ref="AH39:AS39">AH35+AH37</f>
        <v>225154</v>
      </c>
      <c r="AI39" s="37">
        <f t="shared" si="11"/>
        <v>298330</v>
      </c>
      <c r="AJ39" s="37">
        <f t="shared" si="11"/>
        <v>198564</v>
      </c>
      <c r="AK39" s="37">
        <f t="shared" si="11"/>
        <v>241856</v>
      </c>
      <c r="AL39" s="37">
        <f t="shared" si="11"/>
        <v>394207</v>
      </c>
      <c r="AM39" s="37">
        <f t="shared" si="11"/>
        <v>337616</v>
      </c>
      <c r="AN39" s="37">
        <f t="shared" si="11"/>
        <v>285955</v>
      </c>
      <c r="AO39" s="37">
        <f t="shared" si="11"/>
        <v>271364</v>
      </c>
      <c r="AP39" s="37">
        <f t="shared" si="11"/>
        <v>309837</v>
      </c>
      <c r="AQ39" s="37">
        <f t="shared" si="11"/>
        <v>352374</v>
      </c>
      <c r="AR39" s="37">
        <f t="shared" si="11"/>
        <v>374976</v>
      </c>
      <c r="AS39" s="37">
        <f t="shared" si="11"/>
        <v>314642</v>
      </c>
      <c r="AT39" s="37">
        <f>AT35+AT37</f>
        <v>352372</v>
      </c>
      <c r="AU39" s="37">
        <f>AU35+AU37</f>
        <v>354962</v>
      </c>
      <c r="AV39" s="37">
        <f>AV35+AV37</f>
        <v>228476</v>
      </c>
      <c r="AW39" s="37">
        <f aca="true" t="shared" si="12" ref="AW39:BH39">AW35+AW37</f>
        <v>234746.12452253632</v>
      </c>
      <c r="AX39" s="37">
        <f t="shared" si="12"/>
        <v>183957.2947426905</v>
      </c>
      <c r="AY39" s="37">
        <f t="shared" si="12"/>
        <v>220711.06867269825</v>
      </c>
      <c r="AZ39" s="37">
        <f t="shared" si="12"/>
        <v>234432.72732208794</v>
      </c>
      <c r="BA39" s="37">
        <f t="shared" si="12"/>
        <v>173855.09214357642</v>
      </c>
      <c r="BB39" s="37">
        <f t="shared" si="12"/>
        <v>229119.31060429878</v>
      </c>
      <c r="BC39" s="37">
        <f t="shared" si="12"/>
        <v>248940.55962027397</v>
      </c>
      <c r="BD39" s="37">
        <f t="shared" si="12"/>
        <v>348724.794604852</v>
      </c>
      <c r="BE39" s="37">
        <f t="shared" si="12"/>
        <v>330311.62619994546</v>
      </c>
      <c r="BF39" s="37">
        <f t="shared" si="12"/>
        <v>466785.5043647991</v>
      </c>
      <c r="BG39" s="37">
        <f t="shared" si="12"/>
        <v>468038.66251560976</v>
      </c>
      <c r="BH39" s="37">
        <f t="shared" si="12"/>
        <v>455181.7133478157</v>
      </c>
    </row>
    <row r="40" spans="2:60" ht="13.5" thickTop="1">
      <c r="B40" s="5">
        <f>B39-'BS'!C8</f>
        <v>0</v>
      </c>
      <c r="C40" s="5">
        <f>C39-'BS'!D8</f>
        <v>0</v>
      </c>
      <c r="D40" s="5">
        <f>D39-'BS'!E8</f>
        <v>0</v>
      </c>
      <c r="E40" s="5">
        <f>E39-'BS'!F8</f>
        <v>0</v>
      </c>
      <c r="F40" s="5">
        <f>F39-'BS'!G8</f>
        <v>0</v>
      </c>
      <c r="G40" s="5">
        <f>G39-'BS'!H8</f>
        <v>0</v>
      </c>
      <c r="H40" s="5">
        <f>H39-'BS'!I8</f>
        <v>0</v>
      </c>
      <c r="I40" s="5">
        <f>I39-'BS'!J8</f>
        <v>0</v>
      </c>
      <c r="J40" s="5">
        <f>J39-'BS'!K8</f>
        <v>0</v>
      </c>
      <c r="K40" s="5">
        <f>K39-'BS'!L8</f>
        <v>0</v>
      </c>
      <c r="L40" s="5">
        <f>L39-'BS'!M8</f>
        <v>0</v>
      </c>
      <c r="M40" s="5">
        <f>M39-'BS'!N8</f>
        <v>0</v>
      </c>
      <c r="N40" s="5">
        <f>N39-'BS'!O8</f>
        <v>0</v>
      </c>
      <c r="O40" s="5">
        <f>O39-'BS'!P8</f>
        <v>0</v>
      </c>
      <c r="P40" s="5">
        <f>P39-'BS'!Q8</f>
        <v>0</v>
      </c>
      <c r="Q40" s="5">
        <f>Q39-'BS'!R8</f>
        <v>0</v>
      </c>
      <c r="R40" s="5">
        <f>R39-'BS'!S8</f>
        <v>0</v>
      </c>
      <c r="S40" s="5">
        <f>S39-'BS'!T8</f>
        <v>0</v>
      </c>
      <c r="T40" s="5">
        <f>T39-'BS'!U8</f>
        <v>0</v>
      </c>
      <c r="U40" s="5">
        <f>U39-'BS'!V8</f>
        <v>0</v>
      </c>
      <c r="V40" s="5">
        <f>V39-'BS'!W8</f>
        <v>0</v>
      </c>
      <c r="W40" s="5">
        <f>W39-'BS'!X8</f>
        <v>0</v>
      </c>
      <c r="X40" s="5">
        <f>X39-'BS'!Y8</f>
        <v>0</v>
      </c>
      <c r="Y40" s="5">
        <f>Y39-'BS'!Z8</f>
        <v>0</v>
      </c>
      <c r="Z40" s="5">
        <f>Z39-'BS'!AA8</f>
        <v>0</v>
      </c>
      <c r="AA40" s="5">
        <f>AA39-'BS'!AB8</f>
        <v>0</v>
      </c>
      <c r="AB40" s="5">
        <f>AB39-'BS'!AC8</f>
        <v>0</v>
      </c>
      <c r="AC40" s="5">
        <f>AC39-'BS'!AD8</f>
        <v>0</v>
      </c>
      <c r="AD40" s="5">
        <f>AD39-'BS'!AE8</f>
        <v>0</v>
      </c>
      <c r="AE40" s="5">
        <f>AE39-'BS'!AF8</f>
        <v>0</v>
      </c>
      <c r="AF40" s="5">
        <f>AF39-'BS'!AG8</f>
        <v>0</v>
      </c>
      <c r="AG40" s="5">
        <f>AG39-'BS'!AH8</f>
        <v>0</v>
      </c>
      <c r="AH40" s="26">
        <f>AH39-'BS'!AI8</f>
        <v>0</v>
      </c>
      <c r="AI40" s="5">
        <f>AI39-'BS'!AJ8</f>
        <v>0</v>
      </c>
      <c r="AJ40" s="5">
        <f>AJ39-'BS'!AK8</f>
        <v>0</v>
      </c>
      <c r="AK40" s="5">
        <f>AK39-'BS'!AL8</f>
        <v>0</v>
      </c>
      <c r="AL40" s="5">
        <f>AL39-'BS'!AM8</f>
        <v>0</v>
      </c>
      <c r="AM40" s="5">
        <f>AM39-'BS'!AN8</f>
        <v>0</v>
      </c>
      <c r="AN40" s="5">
        <f>AN39-'BS'!AO8</f>
        <v>0</v>
      </c>
      <c r="AO40" s="5">
        <f>AO39-'BS'!AP8</f>
        <v>0</v>
      </c>
      <c r="AP40" s="5">
        <f>AP39-'BS'!AQ8</f>
        <v>0</v>
      </c>
      <c r="AQ40" s="5">
        <f>AQ39-'BS'!AR8</f>
        <v>0</v>
      </c>
      <c r="AR40" s="5">
        <f>AR39-'BS'!AS8</f>
        <v>0</v>
      </c>
      <c r="AS40" s="5">
        <f>AS39-'BS'!AT8</f>
        <v>0</v>
      </c>
      <c r="AT40" s="5">
        <f>AT39-'BS'!AU8</f>
        <v>0</v>
      </c>
      <c r="AU40" s="5">
        <f>AU39-'BS'!AV8</f>
        <v>0</v>
      </c>
      <c r="AV40" s="5">
        <f>AV39-'BS'!AW8</f>
        <v>0</v>
      </c>
      <c r="AW40" s="5">
        <f>AW39-'BS'!AX8</f>
        <v>0</v>
      </c>
      <c r="AX40" s="5">
        <f>AX39-'BS'!AY8</f>
        <v>0</v>
      </c>
      <c r="AY40" s="5">
        <f>AY39-'BS'!AZ8</f>
        <v>0</v>
      </c>
      <c r="AZ40" s="5">
        <f>AZ39-'BS'!BA8</f>
        <v>0</v>
      </c>
      <c r="BA40" s="5">
        <f>BA39-'BS'!BB8</f>
        <v>0</v>
      </c>
      <c r="BB40" s="5">
        <f>BB39-'BS'!BC8</f>
        <v>0</v>
      </c>
      <c r="BC40" s="5">
        <f>BC39-'BS'!BD8</f>
        <v>0</v>
      </c>
      <c r="BD40" s="5">
        <f>BD39-'BS'!BE8</f>
        <v>0</v>
      </c>
      <c r="BE40" s="5">
        <f>BE39-'BS'!BF8</f>
        <v>0</v>
      </c>
      <c r="BF40" s="5">
        <f>BF39-'BS'!BG8</f>
        <v>0</v>
      </c>
      <c r="BG40" s="5">
        <f>BG39-'BS'!BH8</f>
        <v>0</v>
      </c>
      <c r="BH40" s="5">
        <f>BH39-'BS'!BI8</f>
        <v>0</v>
      </c>
    </row>
    <row r="41" ht="12.75">
      <c r="AH41" s="26"/>
    </row>
    <row r="42" spans="1:60" ht="12.75">
      <c r="A42" s="5" t="s">
        <v>138</v>
      </c>
      <c r="B42" s="5">
        <f>'BS'!B33</f>
        <v>0</v>
      </c>
      <c r="C42" s="5">
        <f>'BS'!C33</f>
        <v>0</v>
      </c>
      <c r="D42" s="5">
        <f>'BS'!D33</f>
        <v>0</v>
      </c>
      <c r="E42" s="5">
        <f>'BS'!E33</f>
        <v>0</v>
      </c>
      <c r="F42" s="5">
        <f>'BS'!F33</f>
        <v>0</v>
      </c>
      <c r="G42" s="5">
        <f>'BS'!G33</f>
        <v>0</v>
      </c>
      <c r="H42" s="5">
        <f>'BS'!H33</f>
        <v>0</v>
      </c>
      <c r="I42" s="5">
        <f>'BS'!I33</f>
        <v>0</v>
      </c>
      <c r="J42" s="5">
        <f>'BS'!J33</f>
        <v>0</v>
      </c>
      <c r="K42" s="5">
        <f>'BS'!K33</f>
        <v>0</v>
      </c>
      <c r="L42" s="5">
        <f>'BS'!L33</f>
        <v>0</v>
      </c>
      <c r="M42" s="5">
        <f>'BS'!M33</f>
        <v>40000</v>
      </c>
      <c r="N42" s="5">
        <f>'BS'!N33</f>
        <v>0</v>
      </c>
      <c r="O42" s="5">
        <f>'BS'!O33</f>
        <v>0</v>
      </c>
      <c r="P42" s="5">
        <f>'BS'!P33</f>
        <v>0</v>
      </c>
      <c r="Q42" s="5">
        <f>'BS'!Q33</f>
        <v>0</v>
      </c>
      <c r="R42" s="5">
        <f>'BS'!R33</f>
        <v>0</v>
      </c>
      <c r="S42" s="5">
        <f>'BS'!S33</f>
        <v>0</v>
      </c>
      <c r="T42" s="5">
        <f>'BS'!T33</f>
        <v>0</v>
      </c>
      <c r="U42" s="5">
        <f>'BS'!U33</f>
        <v>0</v>
      </c>
      <c r="V42" s="5">
        <f>'BS'!V33</f>
        <v>0</v>
      </c>
      <c r="W42" s="5">
        <f>'BS'!W33</f>
        <v>0</v>
      </c>
      <c r="X42" s="5">
        <f>'BS'!X33</f>
        <v>0</v>
      </c>
      <c r="Y42" s="5">
        <f>'BS'!Y33</f>
        <v>60000</v>
      </c>
      <c r="Z42" s="5">
        <f>'BS'!Z33</f>
        <v>0</v>
      </c>
      <c r="AA42" s="5">
        <f>'BS'!AA33</f>
        <v>0</v>
      </c>
      <c r="AB42" s="5">
        <f>'BS'!AB33</f>
        <v>0</v>
      </c>
      <c r="AC42" s="5">
        <f>'BS'!AC33</f>
        <v>0</v>
      </c>
      <c r="AD42" s="5">
        <f>'BS'!AD33</f>
        <v>0</v>
      </c>
      <c r="AE42" s="5">
        <f>'BS'!AE33</f>
        <v>0</v>
      </c>
      <c r="AF42" s="5">
        <f>'BS'!AF33</f>
        <v>0</v>
      </c>
      <c r="AG42" s="5">
        <f>'BS'!AG33</f>
        <v>0</v>
      </c>
      <c r="AH42" s="5">
        <f>'BS'!AH33</f>
        <v>0</v>
      </c>
      <c r="AI42" s="5">
        <f>'BS'!AI33</f>
        <v>0</v>
      </c>
      <c r="AJ42" s="5">
        <f>'BS'!AJ33</f>
        <v>0</v>
      </c>
      <c r="AK42" s="5">
        <f>'BS'!AK33</f>
        <v>0</v>
      </c>
      <c r="AL42" s="5">
        <f>'BS'!AL33</f>
        <v>0</v>
      </c>
      <c r="AM42" s="5">
        <f>'BS'!AM33</f>
        <v>0</v>
      </c>
      <c r="AN42" s="5">
        <f>'BS'!AN33</f>
        <v>0</v>
      </c>
      <c r="AO42" s="5">
        <f>'BS'!AO33</f>
        <v>0</v>
      </c>
      <c r="AP42" s="5">
        <f>'BS'!AP33</f>
        <v>0</v>
      </c>
      <c r="AQ42" s="5">
        <f>'BS'!AQ33</f>
        <v>0</v>
      </c>
      <c r="AR42" s="5">
        <f>'BS'!AR33</f>
        <v>0</v>
      </c>
      <c r="AS42" s="5">
        <f>'BS'!AS33</f>
        <v>0</v>
      </c>
      <c r="AT42" s="5">
        <f>'BS'!AT33</f>
        <v>0</v>
      </c>
      <c r="AU42" s="5">
        <f>'BS'!AU33</f>
        <v>0</v>
      </c>
      <c r="AV42" s="5">
        <f>'BS'!AV33</f>
        <v>0</v>
      </c>
      <c r="AW42" s="5">
        <f>'BS'!AW33</f>
        <v>0</v>
      </c>
      <c r="AX42" s="5">
        <f>'BS'!AX33</f>
        <v>0</v>
      </c>
      <c r="AY42" s="5">
        <f>'BS'!AY33</f>
        <v>0</v>
      </c>
      <c r="AZ42" s="5">
        <f>'BS'!AZ33</f>
        <v>0</v>
      </c>
      <c r="BA42" s="5">
        <f>'BS'!BA33</f>
        <v>0</v>
      </c>
      <c r="BB42" s="5">
        <f>'BS'!BB33</f>
        <v>0</v>
      </c>
      <c r="BC42" s="5">
        <f>'BS'!BC33</f>
        <v>0</v>
      </c>
      <c r="BD42" s="5">
        <f>'BS'!BD33</f>
        <v>0</v>
      </c>
      <c r="BE42" s="5">
        <f>'BS'!BE33</f>
        <v>0</v>
      </c>
      <c r="BF42" s="5">
        <f>'BS'!BF33</f>
        <v>0</v>
      </c>
      <c r="BG42" s="5">
        <f>'BS'!BG33</f>
        <v>0</v>
      </c>
      <c r="BH42" s="5">
        <f>'BS'!BH33</f>
        <v>0</v>
      </c>
    </row>
    <row r="43" spans="1:60" ht="12.75">
      <c r="A43" s="5" t="s">
        <v>139</v>
      </c>
      <c r="B43" s="5">
        <v>75000</v>
      </c>
      <c r="C43" s="5">
        <f>B43</f>
        <v>75000</v>
      </c>
      <c r="D43" s="5">
        <f aca="true" t="shared" si="13" ref="D43:AV43">C43</f>
        <v>75000</v>
      </c>
      <c r="E43" s="5">
        <f t="shared" si="13"/>
        <v>75000</v>
      </c>
      <c r="F43" s="5">
        <f t="shared" si="13"/>
        <v>75000</v>
      </c>
      <c r="G43" s="5">
        <f t="shared" si="13"/>
        <v>75000</v>
      </c>
      <c r="H43" s="5">
        <f t="shared" si="13"/>
        <v>75000</v>
      </c>
      <c r="I43" s="5">
        <f t="shared" si="13"/>
        <v>75000</v>
      </c>
      <c r="J43" s="5">
        <f t="shared" si="13"/>
        <v>75000</v>
      </c>
      <c r="K43" s="5">
        <f t="shared" si="13"/>
        <v>75000</v>
      </c>
      <c r="L43" s="5">
        <f t="shared" si="13"/>
        <v>75000</v>
      </c>
      <c r="M43" s="5">
        <f t="shared" si="13"/>
        <v>75000</v>
      </c>
      <c r="N43" s="5">
        <f t="shared" si="13"/>
        <v>75000</v>
      </c>
      <c r="O43" s="5">
        <f t="shared" si="13"/>
        <v>75000</v>
      </c>
      <c r="P43" s="5">
        <f t="shared" si="13"/>
        <v>75000</v>
      </c>
      <c r="Q43" s="5">
        <f t="shared" si="13"/>
        <v>75000</v>
      </c>
      <c r="R43" s="5">
        <f t="shared" si="13"/>
        <v>75000</v>
      </c>
      <c r="S43" s="5">
        <f t="shared" si="13"/>
        <v>75000</v>
      </c>
      <c r="T43" s="5">
        <f t="shared" si="13"/>
        <v>75000</v>
      </c>
      <c r="U43" s="5">
        <f t="shared" si="13"/>
        <v>75000</v>
      </c>
      <c r="V43" s="5">
        <f t="shared" si="13"/>
        <v>75000</v>
      </c>
      <c r="W43" s="5">
        <f t="shared" si="13"/>
        <v>75000</v>
      </c>
      <c r="X43" s="5">
        <f t="shared" si="13"/>
        <v>75000</v>
      </c>
      <c r="Y43" s="5">
        <f t="shared" si="13"/>
        <v>75000</v>
      </c>
      <c r="Z43" s="5">
        <f t="shared" si="13"/>
        <v>75000</v>
      </c>
      <c r="AA43" s="5">
        <f t="shared" si="13"/>
        <v>75000</v>
      </c>
      <c r="AB43" s="5">
        <f t="shared" si="13"/>
        <v>75000</v>
      </c>
      <c r="AC43" s="5">
        <f t="shared" si="13"/>
        <v>75000</v>
      </c>
      <c r="AD43" s="5">
        <f t="shared" si="13"/>
        <v>75000</v>
      </c>
      <c r="AE43" s="5">
        <f t="shared" si="13"/>
        <v>75000</v>
      </c>
      <c r="AF43" s="5">
        <f t="shared" si="13"/>
        <v>75000</v>
      </c>
      <c r="AG43" s="5">
        <f t="shared" si="13"/>
        <v>75000</v>
      </c>
      <c r="AH43" s="5">
        <f t="shared" si="13"/>
        <v>75000</v>
      </c>
      <c r="AI43" s="5">
        <f t="shared" si="13"/>
        <v>75000</v>
      </c>
      <c r="AJ43" s="5">
        <f t="shared" si="13"/>
        <v>75000</v>
      </c>
      <c r="AK43" s="5">
        <f t="shared" si="13"/>
        <v>75000</v>
      </c>
      <c r="AL43" s="5">
        <f t="shared" si="13"/>
        <v>75000</v>
      </c>
      <c r="AM43" s="5">
        <f t="shared" si="13"/>
        <v>75000</v>
      </c>
      <c r="AN43" s="5">
        <f t="shared" si="13"/>
        <v>75000</v>
      </c>
      <c r="AO43" s="5">
        <f t="shared" si="13"/>
        <v>75000</v>
      </c>
      <c r="AP43" s="5">
        <f t="shared" si="13"/>
        <v>75000</v>
      </c>
      <c r="AQ43" s="5">
        <f t="shared" si="13"/>
        <v>75000</v>
      </c>
      <c r="AR43" s="5">
        <f t="shared" si="13"/>
        <v>75000</v>
      </c>
      <c r="AS43" s="5">
        <f t="shared" si="13"/>
        <v>75000</v>
      </c>
      <c r="AT43" s="5">
        <f t="shared" si="13"/>
        <v>75000</v>
      </c>
      <c r="AU43" s="5">
        <f t="shared" si="13"/>
        <v>75000</v>
      </c>
      <c r="AV43" s="5">
        <f t="shared" si="13"/>
        <v>75000</v>
      </c>
      <c r="AW43" s="5">
        <f aca="true" t="shared" si="14" ref="AW43:BH43">AV43</f>
        <v>75000</v>
      </c>
      <c r="AX43" s="5">
        <f t="shared" si="14"/>
        <v>75000</v>
      </c>
      <c r="AY43" s="5">
        <f t="shared" si="14"/>
        <v>75000</v>
      </c>
      <c r="AZ43" s="5">
        <f t="shared" si="14"/>
        <v>75000</v>
      </c>
      <c r="BA43" s="5">
        <f t="shared" si="14"/>
        <v>75000</v>
      </c>
      <c r="BB43" s="5">
        <f t="shared" si="14"/>
        <v>75000</v>
      </c>
      <c r="BC43" s="5">
        <f t="shared" si="14"/>
        <v>75000</v>
      </c>
      <c r="BD43" s="5">
        <f t="shared" si="14"/>
        <v>75000</v>
      </c>
      <c r="BE43" s="5">
        <f t="shared" si="14"/>
        <v>75000</v>
      </c>
      <c r="BF43" s="5">
        <f t="shared" si="14"/>
        <v>75000</v>
      </c>
      <c r="BG43" s="5">
        <f t="shared" si="14"/>
        <v>75000</v>
      </c>
      <c r="BH43" s="5">
        <f t="shared" si="14"/>
        <v>75000</v>
      </c>
    </row>
    <row r="45" spans="1:60" ht="12.75">
      <c r="A45" s="5" t="s">
        <v>140</v>
      </c>
      <c r="AH45" s="5">
        <f aca="true" t="shared" si="15" ref="AH45:BH45">IF(AG39+AH26+AH31+AH30&gt;AH43,AG39+AH26+AH30+AH31-AH43,0)</f>
        <v>150154</v>
      </c>
      <c r="AI45" s="5">
        <f t="shared" si="15"/>
        <v>223330</v>
      </c>
      <c r="AJ45" s="5">
        <f t="shared" si="15"/>
        <v>123564</v>
      </c>
      <c r="AK45" s="5">
        <f t="shared" si="15"/>
        <v>166856</v>
      </c>
      <c r="AL45" s="5">
        <f t="shared" si="15"/>
        <v>319207</v>
      </c>
      <c r="AM45" s="5">
        <f t="shared" si="15"/>
        <v>262616</v>
      </c>
      <c r="AN45" s="5">
        <f t="shared" si="15"/>
        <v>210955</v>
      </c>
      <c r="AO45" s="5">
        <f t="shared" si="15"/>
        <v>196364</v>
      </c>
      <c r="AP45" s="5">
        <f t="shared" si="15"/>
        <v>234837</v>
      </c>
      <c r="AQ45" s="5">
        <f t="shared" si="15"/>
        <v>277374</v>
      </c>
      <c r="AR45" s="5">
        <f t="shared" si="15"/>
        <v>299976</v>
      </c>
      <c r="AS45" s="5">
        <f t="shared" si="15"/>
        <v>239642</v>
      </c>
      <c r="AT45" s="5">
        <f t="shared" si="15"/>
        <v>277372</v>
      </c>
      <c r="AU45" s="5">
        <f t="shared" si="15"/>
        <v>279962</v>
      </c>
      <c r="AV45" s="5">
        <f t="shared" si="15"/>
        <v>153476</v>
      </c>
      <c r="AW45" s="5">
        <f t="shared" si="15"/>
        <v>159746.12452253632</v>
      </c>
      <c r="AX45" s="5">
        <f t="shared" si="15"/>
        <v>108957.29474269049</v>
      </c>
      <c r="AY45" s="5">
        <f t="shared" si="15"/>
        <v>145711.06867269825</v>
      </c>
      <c r="AZ45" s="5">
        <f t="shared" si="15"/>
        <v>159432.72732208794</v>
      </c>
      <c r="BA45" s="5">
        <f t="shared" si="15"/>
        <v>98855.09214357642</v>
      </c>
      <c r="BB45" s="5">
        <f t="shared" si="15"/>
        <v>154119.31060429878</v>
      </c>
      <c r="BC45" s="5">
        <f t="shared" si="15"/>
        <v>173940.55962027397</v>
      </c>
      <c r="BD45" s="5">
        <f t="shared" si="15"/>
        <v>273724.794604852</v>
      </c>
      <c r="BE45" s="5">
        <f t="shared" si="15"/>
        <v>255311.62619994546</v>
      </c>
      <c r="BF45" s="5">
        <f t="shared" si="15"/>
        <v>391785.5043647991</v>
      </c>
      <c r="BG45" s="5">
        <f t="shared" si="15"/>
        <v>393038.66251560976</v>
      </c>
      <c r="BH45" s="5">
        <f t="shared" si="15"/>
        <v>380181.7133478157</v>
      </c>
    </row>
    <row r="47" spans="1:60" ht="12.75">
      <c r="A47" s="5" t="s">
        <v>141</v>
      </c>
      <c r="AH47" s="5">
        <f aca="true" t="shared" si="16" ref="AH47:BH47">IF(AG39+AH26+AH30+AH31&lt;AH43,AH43-(AG39+AH26+AH30+AH31),0)</f>
        <v>0</v>
      </c>
      <c r="AI47" s="5">
        <f t="shared" si="16"/>
        <v>0</v>
      </c>
      <c r="AJ47" s="5">
        <f t="shared" si="16"/>
        <v>0</v>
      </c>
      <c r="AK47" s="5">
        <f t="shared" si="16"/>
        <v>0</v>
      </c>
      <c r="AL47" s="5">
        <f t="shared" si="16"/>
        <v>0</v>
      </c>
      <c r="AM47" s="5">
        <f t="shared" si="16"/>
        <v>0</v>
      </c>
      <c r="AN47" s="5">
        <f t="shared" si="16"/>
        <v>0</v>
      </c>
      <c r="AO47" s="5">
        <f t="shared" si="16"/>
        <v>0</v>
      </c>
      <c r="AP47" s="5">
        <f t="shared" si="16"/>
        <v>0</v>
      </c>
      <c r="AQ47" s="5">
        <f t="shared" si="16"/>
        <v>0</v>
      </c>
      <c r="AR47" s="5">
        <f t="shared" si="16"/>
        <v>0</v>
      </c>
      <c r="AS47" s="5">
        <f t="shared" si="16"/>
        <v>0</v>
      </c>
      <c r="AT47" s="5">
        <f t="shared" si="16"/>
        <v>0</v>
      </c>
      <c r="AU47" s="5">
        <f t="shared" si="16"/>
        <v>0</v>
      </c>
      <c r="AV47" s="5">
        <f t="shared" si="16"/>
        <v>0</v>
      </c>
      <c r="AW47" s="5">
        <f t="shared" si="16"/>
        <v>0</v>
      </c>
      <c r="AX47" s="5">
        <f t="shared" si="16"/>
        <v>0</v>
      </c>
      <c r="AY47" s="5">
        <f t="shared" si="16"/>
        <v>0</v>
      </c>
      <c r="AZ47" s="5">
        <f t="shared" si="16"/>
        <v>0</v>
      </c>
      <c r="BA47" s="5">
        <f t="shared" si="16"/>
        <v>0</v>
      </c>
      <c r="BB47" s="5">
        <f t="shared" si="16"/>
        <v>0</v>
      </c>
      <c r="BC47" s="5">
        <f t="shared" si="16"/>
        <v>0</v>
      </c>
      <c r="BD47" s="5">
        <f t="shared" si="16"/>
        <v>0</v>
      </c>
      <c r="BE47" s="5">
        <f t="shared" si="16"/>
        <v>0</v>
      </c>
      <c r="BF47" s="5">
        <f t="shared" si="16"/>
        <v>0</v>
      </c>
      <c r="BG47" s="5">
        <f t="shared" si="16"/>
        <v>0</v>
      </c>
      <c r="BH47" s="5">
        <f t="shared" si="16"/>
        <v>0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30"/>
  <sheetViews>
    <sheetView zoomScalePageLayoutView="0" workbookViewId="0" topLeftCell="AI1">
      <selection activeCell="A15" sqref="A15:AX19"/>
    </sheetView>
  </sheetViews>
  <sheetFormatPr defaultColWidth="8.8515625" defaultRowHeight="12.75"/>
  <cols>
    <col min="1" max="1" width="16.140625" style="0" customWidth="1"/>
    <col min="2" max="31" width="12.8515625" style="0" bestFit="1" customWidth="1"/>
    <col min="32" max="48" width="13.421875" style="0" bestFit="1" customWidth="1"/>
    <col min="49" max="50" width="12.8515625" style="0" bestFit="1" customWidth="1"/>
    <col min="51" max="51" width="11.8515625" style="0" bestFit="1" customWidth="1"/>
    <col min="52" max="53" width="10.8515625" style="0" bestFit="1" customWidth="1"/>
    <col min="54" max="59" width="11.28125" style="0" bestFit="1" customWidth="1"/>
    <col min="60" max="60" width="11.8515625" style="0" bestFit="1" customWidth="1"/>
  </cols>
  <sheetData>
    <row r="1" ht="12.75">
      <c r="A1" t="s">
        <v>136</v>
      </c>
    </row>
    <row r="2" spans="2:60" ht="12.75">
      <c r="B2" s="18" t="str">
        <f>'Rolling 12'!B5</f>
        <v>2008-12</v>
      </c>
      <c r="C2" s="18" t="str">
        <f>'Rolling 12'!C5</f>
        <v>2009-01</v>
      </c>
      <c r="D2" s="18" t="str">
        <f>'Rolling 12'!D5</f>
        <v>2009-02</v>
      </c>
      <c r="E2" s="18" t="str">
        <f>'Rolling 12'!E5</f>
        <v>2009-03</v>
      </c>
      <c r="F2" s="18" t="str">
        <f>'Rolling 12'!F5</f>
        <v>2009-04</v>
      </c>
      <c r="G2" s="18" t="str">
        <f>'Rolling 12'!G5</f>
        <v>2009-05</v>
      </c>
      <c r="H2" s="18" t="str">
        <f>'Rolling 12'!H5</f>
        <v>2009-06</v>
      </c>
      <c r="I2" s="18" t="str">
        <f>'Rolling 12'!I5</f>
        <v>2009-07</v>
      </c>
      <c r="J2" s="18" t="str">
        <f>'Rolling 12'!J5</f>
        <v>2009-08</v>
      </c>
      <c r="K2" s="18" t="str">
        <f>'Rolling 12'!K5</f>
        <v>2009-09</v>
      </c>
      <c r="L2" s="18" t="str">
        <f>'Rolling 12'!L5</f>
        <v>2009-10</v>
      </c>
      <c r="M2" s="18" t="str">
        <f>'Rolling 12'!M5</f>
        <v>2009-11</v>
      </c>
      <c r="N2" s="18" t="str">
        <f>'Rolling 12'!N5</f>
        <v>2009-12</v>
      </c>
      <c r="O2" s="18" t="str">
        <f>'Rolling 12'!O5</f>
        <v>2010-01</v>
      </c>
      <c r="P2" s="18" t="str">
        <f>'Rolling 12'!P5</f>
        <v>2010-02</v>
      </c>
      <c r="Q2" s="18" t="str">
        <f>'Rolling 12'!Q5</f>
        <v>2010-03</v>
      </c>
      <c r="R2" s="18" t="str">
        <f>'Rolling 12'!R5</f>
        <v>2010-04</v>
      </c>
      <c r="S2" s="18" t="str">
        <f>'Rolling 12'!S5</f>
        <v>2010-05</v>
      </c>
      <c r="T2" s="18" t="str">
        <f>'Rolling 12'!T5</f>
        <v>2010-06</v>
      </c>
      <c r="U2" s="18" t="str">
        <f>'Rolling 12'!U5</f>
        <v>2010-07</v>
      </c>
      <c r="V2" s="18" t="str">
        <f>'Rolling 12'!V5</f>
        <v>2010-08</v>
      </c>
      <c r="W2" s="18" t="str">
        <f>'Rolling 12'!W5</f>
        <v>2010-09</v>
      </c>
      <c r="X2" s="18" t="str">
        <f>'Rolling 12'!X5</f>
        <v>2010-10</v>
      </c>
      <c r="Y2" s="18" t="str">
        <f>'Rolling 12'!Y5</f>
        <v>2010-11</v>
      </c>
      <c r="Z2" s="18" t="str">
        <f>'Rolling 12'!Z5</f>
        <v>2010-12</v>
      </c>
      <c r="AA2" s="18" t="str">
        <f>'Rolling 12'!AA5</f>
        <v>2011-01</v>
      </c>
      <c r="AB2" s="18" t="str">
        <f>'Rolling 12'!AB5</f>
        <v>2011-02</v>
      </c>
      <c r="AC2" s="18" t="str">
        <f>'Rolling 12'!AC5</f>
        <v>2011-03</v>
      </c>
      <c r="AD2" s="18" t="str">
        <f>'Rolling 12'!AD5</f>
        <v>2011-04</v>
      </c>
      <c r="AE2" s="18" t="str">
        <f>'Rolling 12'!AE5</f>
        <v>2011-05</v>
      </c>
      <c r="AF2" s="18" t="str">
        <f>'Rolling 12'!AF5</f>
        <v>2011-06</v>
      </c>
      <c r="AG2" s="18" t="str">
        <f>'Rolling 12'!AG5</f>
        <v>2011-07</v>
      </c>
      <c r="AH2" s="18" t="str">
        <f>'Rolling 12'!AH5</f>
        <v>2011-08</v>
      </c>
      <c r="AI2" s="18" t="str">
        <f>'Rolling 12'!AI5</f>
        <v>2011-09</v>
      </c>
      <c r="AJ2" s="18" t="str">
        <f>'Rolling 12'!AJ5</f>
        <v>2011-10</v>
      </c>
      <c r="AK2" s="18" t="str">
        <f>'Rolling 12'!AK5</f>
        <v>2011-11</v>
      </c>
      <c r="AL2" s="18" t="str">
        <f>'Rolling 12'!AL5</f>
        <v>2011-12</v>
      </c>
      <c r="AM2" s="18" t="str">
        <f>'Rolling 12'!AM5</f>
        <v>2012-01</v>
      </c>
      <c r="AN2" s="18" t="str">
        <f>'Rolling 12'!AN5</f>
        <v>2012-02</v>
      </c>
      <c r="AO2" s="18" t="str">
        <f>'Rolling 12'!AO5</f>
        <v>2012-03</v>
      </c>
      <c r="AP2" s="18" t="str">
        <f>'Rolling 12'!AP5</f>
        <v>2012-04</v>
      </c>
      <c r="AQ2" s="18" t="str">
        <f>'Rolling 12'!AQ5</f>
        <v>2012-05</v>
      </c>
      <c r="AR2" s="18" t="str">
        <f>'Rolling 12'!AR5</f>
        <v>2012-06</v>
      </c>
      <c r="AS2" s="18" t="str">
        <f>'Rolling 12'!AS5</f>
        <v>2012-07</v>
      </c>
      <c r="AT2" s="18" t="str">
        <f>'Rolling 12'!AT5</f>
        <v>2012-08</v>
      </c>
      <c r="AU2" s="18" t="str">
        <f>'Rolling 12'!AU5</f>
        <v>2012-09</v>
      </c>
      <c r="AV2" s="18" t="str">
        <f>'Rolling 12'!AV5</f>
        <v>2012-10</v>
      </c>
      <c r="AW2" s="18" t="str">
        <f>'Rolling 12'!AW5</f>
        <v>2012-11</v>
      </c>
      <c r="AX2" s="18" t="str">
        <f>'Rolling 12'!AX5</f>
        <v>2012-12</v>
      </c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1:60" ht="12.75">
      <c r="A3" t="s">
        <v>137</v>
      </c>
      <c r="B3" s="18">
        <f>'Rolling 12'!B7</f>
        <v>2514000</v>
      </c>
      <c r="C3" s="18">
        <f>'Rolling 12'!C7</f>
        <v>2580000</v>
      </c>
      <c r="D3" s="18">
        <f>'Rolling 12'!D7</f>
        <v>2563000</v>
      </c>
      <c r="E3" s="18">
        <f>'Rolling 12'!E7</f>
        <v>2640000</v>
      </c>
      <c r="F3" s="18">
        <f>'Rolling 12'!F7</f>
        <v>2693000</v>
      </c>
      <c r="G3" s="18">
        <f>'Rolling 12'!G7</f>
        <v>2734000</v>
      </c>
      <c r="H3" s="18">
        <f>'Rolling 12'!H7</f>
        <v>2942000</v>
      </c>
      <c r="I3" s="18">
        <f>'Rolling 12'!I7</f>
        <v>2840000</v>
      </c>
      <c r="J3" s="18">
        <f>'Rolling 12'!J7</f>
        <v>2912000</v>
      </c>
      <c r="K3" s="18">
        <f>'Rolling 12'!K7</f>
        <v>2817000</v>
      </c>
      <c r="L3" s="18">
        <f>'Rolling 12'!L7</f>
        <v>2825000</v>
      </c>
      <c r="M3" s="18">
        <f>'Rolling 12'!M7</f>
        <v>2879000</v>
      </c>
      <c r="N3" s="18">
        <f>'Rolling 12'!N7</f>
        <v>2793000</v>
      </c>
      <c r="O3" s="18">
        <f>'Rolling 12'!O7</f>
        <v>3127000</v>
      </c>
      <c r="P3" s="18">
        <f>'Rolling 12'!P7</f>
        <v>3179000</v>
      </c>
      <c r="Q3" s="18">
        <f>'Rolling 12'!Q7</f>
        <v>3102000</v>
      </c>
      <c r="R3" s="18">
        <f>'Rolling 12'!R7</f>
        <v>3207000</v>
      </c>
      <c r="S3" s="18">
        <f>'Rolling 12'!S7</f>
        <v>3232000</v>
      </c>
      <c r="T3" s="18">
        <f>'Rolling 12'!T7</f>
        <v>3219000</v>
      </c>
      <c r="U3" s="18">
        <f>'Rolling 12'!U7</f>
        <v>3234000</v>
      </c>
      <c r="V3" s="18">
        <f>'Rolling 12'!V7</f>
        <v>3278000</v>
      </c>
      <c r="W3" s="18">
        <f>'Rolling 12'!W7</f>
        <v>3207000</v>
      </c>
      <c r="X3" s="18">
        <f>'Rolling 12'!X7</f>
        <v>3269000</v>
      </c>
      <c r="Y3" s="18">
        <f>'Rolling 12'!Y7</f>
        <v>3310000</v>
      </c>
      <c r="Z3" s="18">
        <f>'Rolling 12'!Z7</f>
        <v>3223000</v>
      </c>
      <c r="AA3" s="18">
        <f>'Rolling 12'!AA7</f>
        <v>2903000</v>
      </c>
      <c r="AB3" s="18">
        <f>'Rolling 12'!AB7</f>
        <v>2856000</v>
      </c>
      <c r="AC3" s="18">
        <f>'Rolling 12'!AC7</f>
        <v>2895000</v>
      </c>
      <c r="AD3" s="18">
        <f>'Rolling 12'!AD7</f>
        <v>2859000</v>
      </c>
      <c r="AE3" s="18">
        <f>'Rolling 12'!AE7</f>
        <v>2799000</v>
      </c>
      <c r="AF3" s="18">
        <f>'Rolling 12'!AF7</f>
        <v>2747000</v>
      </c>
      <c r="AG3" s="18">
        <f>'Rolling 12'!AG7</f>
        <v>2722000</v>
      </c>
      <c r="AH3" s="18">
        <f>'Rolling 12'!AH7</f>
        <v>2832000</v>
      </c>
      <c r="AI3" s="18">
        <f>'Rolling 12'!AI7</f>
        <v>2880000</v>
      </c>
      <c r="AJ3" s="18">
        <f>'Rolling 12'!AJ7</f>
        <v>2794000</v>
      </c>
      <c r="AK3" s="18">
        <f>'Rolling 12'!AK7</f>
        <v>2770000</v>
      </c>
      <c r="AL3" s="18">
        <f>'Rolling 12'!AL7</f>
        <v>2803000</v>
      </c>
      <c r="AM3" s="18">
        <f>'Rolling 12'!AM7</f>
        <v>2826000</v>
      </c>
      <c r="AN3" s="18">
        <f>'Rolling 12'!AN7</f>
        <v>2837400</v>
      </c>
      <c r="AO3" s="18">
        <f>'Rolling 12'!AO7</f>
        <v>2847100</v>
      </c>
      <c r="AP3" s="18">
        <f>'Rolling 12'!AP7</f>
        <v>2875100</v>
      </c>
      <c r="AQ3" s="18">
        <f>'Rolling 12'!AQ7</f>
        <v>2901900</v>
      </c>
      <c r="AR3" s="18">
        <f>'Rolling 12'!AR7</f>
        <v>2934100</v>
      </c>
      <c r="AS3" s="18">
        <f>'Rolling 12'!AS7</f>
        <v>2960700</v>
      </c>
      <c r="AT3" s="18">
        <f>'Rolling 12'!AT7</f>
        <v>3001800</v>
      </c>
      <c r="AU3" s="18">
        <f>'Rolling 12'!AU7</f>
        <v>3023500</v>
      </c>
      <c r="AV3" s="18">
        <f>'Rolling 12'!AV7</f>
        <v>3049300</v>
      </c>
      <c r="AW3" s="18">
        <f>'Rolling 12'!AW7</f>
        <v>3068700</v>
      </c>
      <c r="AX3" s="18">
        <f>'Rolling 12'!AX7</f>
        <v>3083300</v>
      </c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:60" ht="12.75">
      <c r="A4" t="s">
        <v>206</v>
      </c>
      <c r="B4" s="18">
        <f>'Rolling 12'!B17</f>
        <v>1141000</v>
      </c>
      <c r="C4" s="18">
        <f>'Rolling 12'!C17</f>
        <v>1137000</v>
      </c>
      <c r="D4" s="18">
        <f>'Rolling 12'!D17</f>
        <v>1130000</v>
      </c>
      <c r="E4" s="18">
        <f>'Rolling 12'!E17</f>
        <v>1257000</v>
      </c>
      <c r="F4" s="18">
        <f>'Rolling 12'!F17</f>
        <v>1266000</v>
      </c>
      <c r="G4" s="18">
        <f>'Rolling 12'!G17</f>
        <v>1298000</v>
      </c>
      <c r="H4" s="18">
        <f>'Rolling 12'!H17</f>
        <v>1491000</v>
      </c>
      <c r="I4" s="18">
        <f>'Rolling 12'!I17</f>
        <v>1353000</v>
      </c>
      <c r="J4" s="18">
        <f>'Rolling 12'!J17</f>
        <v>1413000</v>
      </c>
      <c r="K4" s="18">
        <f>'Rolling 12'!K17</f>
        <v>1342000</v>
      </c>
      <c r="L4" s="18">
        <f>'Rolling 12'!L17</f>
        <v>1393000</v>
      </c>
      <c r="M4" s="18">
        <f>'Rolling 12'!M17</f>
        <v>1532000</v>
      </c>
      <c r="N4" s="18">
        <f>'Rolling 12'!N17</f>
        <v>1400000</v>
      </c>
      <c r="O4" s="18">
        <f>'Rolling 12'!O17</f>
        <v>1725000</v>
      </c>
      <c r="P4" s="18">
        <f>'Rolling 12'!P17</f>
        <v>1741000</v>
      </c>
      <c r="Q4" s="18">
        <f>'Rolling 12'!Q17</f>
        <v>1494000</v>
      </c>
      <c r="R4" s="18">
        <f>'Rolling 12'!R17</f>
        <v>1533000</v>
      </c>
      <c r="S4" s="18">
        <f>'Rolling 12'!S17</f>
        <v>1531000</v>
      </c>
      <c r="T4" s="18">
        <f>'Rolling 12'!T17</f>
        <v>1506000</v>
      </c>
      <c r="U4" s="18">
        <f>'Rolling 12'!U17</f>
        <v>1531000</v>
      </c>
      <c r="V4" s="18">
        <f>'Rolling 12'!V17</f>
        <v>1562000</v>
      </c>
      <c r="W4" s="18">
        <f>'Rolling 12'!W17</f>
        <v>1525000</v>
      </c>
      <c r="X4" s="18">
        <f>'Rolling 12'!X17</f>
        <v>1596000</v>
      </c>
      <c r="Y4" s="18">
        <f>'Rolling 12'!Y17</f>
        <v>1624000</v>
      </c>
      <c r="Z4" s="18">
        <f>'Rolling 12'!Z17</f>
        <v>1577000</v>
      </c>
      <c r="AA4" s="18">
        <f>'Rolling 12'!AA17</f>
        <v>1313000</v>
      </c>
      <c r="AB4" s="18">
        <f>'Rolling 12'!AB17</f>
        <v>1276000</v>
      </c>
      <c r="AC4" s="18">
        <f>'Rolling 12'!AC17</f>
        <v>1427000</v>
      </c>
      <c r="AD4" s="18">
        <f>'Rolling 12'!AD17</f>
        <v>1456000</v>
      </c>
      <c r="AE4" s="18">
        <f>'Rolling 12'!AE17</f>
        <v>1403000</v>
      </c>
      <c r="AF4" s="18">
        <f>'Rolling 12'!AF17</f>
        <v>1374000</v>
      </c>
      <c r="AG4" s="18">
        <f>'Rolling 12'!AG17</f>
        <v>1388000</v>
      </c>
      <c r="AH4" s="18">
        <f>'Rolling 12'!AH17</f>
        <v>1510000</v>
      </c>
      <c r="AI4" s="18">
        <f>'Rolling 12'!AI17</f>
        <v>1560000</v>
      </c>
      <c r="AJ4" s="18">
        <f>'Rolling 12'!AJ17</f>
        <v>1498000</v>
      </c>
      <c r="AK4" s="18">
        <f>'Rolling 12'!AK17</f>
        <v>1470000</v>
      </c>
      <c r="AL4" s="18">
        <f>'Rolling 12'!AL17</f>
        <v>1489000</v>
      </c>
      <c r="AM4" s="18">
        <f>'Rolling 12'!AM17</f>
        <v>1464494.705882353</v>
      </c>
      <c r="AN4" s="18">
        <f>'Rolling 12'!AN17</f>
        <v>1488661.6470588236</v>
      </c>
      <c r="AO4" s="18">
        <f>'Rolling 12'!AO17</f>
        <v>1551961.5882352942</v>
      </c>
      <c r="AP4" s="18">
        <f>'Rolling 12'!AP17</f>
        <v>1561476.8823529412</v>
      </c>
      <c r="AQ4" s="18">
        <f>'Rolling 12'!AQ17</f>
        <v>1628027.2352941176</v>
      </c>
      <c r="AR4" s="18">
        <f>'Rolling 12'!AR17</f>
        <v>1645919.8235294118</v>
      </c>
      <c r="AS4" s="18">
        <f>'Rolling 12'!AS17</f>
        <v>1655309.3529411764</v>
      </c>
      <c r="AT4" s="18">
        <f>'Rolling 12'!AT17</f>
        <v>1628858.5882352942</v>
      </c>
      <c r="AU4" s="18">
        <f>'Rolling 12'!AU17</f>
        <v>1638807.9411764706</v>
      </c>
      <c r="AV4" s="18">
        <f>'Rolling 12'!AV17</f>
        <v>1619554.1764705882</v>
      </c>
      <c r="AW4" s="18">
        <f>'Rolling 12'!AW17</f>
        <v>1634154.0588235294</v>
      </c>
      <c r="AX4" s="18">
        <f>'Rolling 12'!AX17</f>
        <v>1626894.1764705882</v>
      </c>
      <c r="AY4" s="18"/>
      <c r="AZ4" s="18"/>
      <c r="BA4" s="18"/>
      <c r="BB4" s="18"/>
      <c r="BC4" s="18"/>
      <c r="BD4" s="18"/>
      <c r="BE4" s="18"/>
      <c r="BF4" s="18"/>
      <c r="BG4" s="18"/>
      <c r="BH4" s="18"/>
    </row>
    <row r="5" spans="1:60" ht="12.75">
      <c r="A5" t="s">
        <v>1</v>
      </c>
      <c r="B5" s="18">
        <f>'Rolling 12'!B37</f>
        <v>66424</v>
      </c>
      <c r="C5" s="18">
        <f>'Rolling 12'!C37</f>
        <v>57550</v>
      </c>
      <c r="D5" s="18">
        <f>'Rolling 12'!D37</f>
        <v>25682</v>
      </c>
      <c r="E5" s="18">
        <f>'Rolling 12'!E37</f>
        <v>110825</v>
      </c>
      <c r="F5" s="18">
        <f>'Rolling 12'!F37</f>
        <v>114543</v>
      </c>
      <c r="G5" s="18">
        <f>'Rolling 12'!G37</f>
        <v>149243</v>
      </c>
      <c r="H5" s="18">
        <f>'Rolling 12'!H37</f>
        <v>295966</v>
      </c>
      <c r="I5" s="18">
        <f>'Rolling 12'!I37</f>
        <v>165876</v>
      </c>
      <c r="J5" s="18">
        <f>'Rolling 12'!J37</f>
        <v>207798</v>
      </c>
      <c r="K5" s="18">
        <f>'Rolling 12'!K37</f>
        <v>90800</v>
      </c>
      <c r="L5" s="18">
        <f>'Rolling 12'!L37</f>
        <v>122833</v>
      </c>
      <c r="M5" s="18">
        <f>'Rolling 12'!M37</f>
        <v>246038</v>
      </c>
      <c r="N5" s="18">
        <f>'Rolling 12'!N37</f>
        <v>96164</v>
      </c>
      <c r="O5" s="18">
        <f>'Rolling 12'!O37</f>
        <v>259030</v>
      </c>
      <c r="P5" s="18">
        <f>'Rolling 12'!P37</f>
        <v>279913</v>
      </c>
      <c r="Q5" s="18">
        <f>'Rolling 12'!Q37</f>
        <v>40814</v>
      </c>
      <c r="R5" s="18">
        <f>'Rolling 12'!R37</f>
        <v>98164</v>
      </c>
      <c r="S5" s="18">
        <f>'Rolling 12'!S37</f>
        <v>91100</v>
      </c>
      <c r="T5" s="18">
        <f>'Rolling 12'!T37</f>
        <v>114048</v>
      </c>
      <c r="U5" s="18">
        <f>'Rolling 12'!U37</f>
        <v>129107</v>
      </c>
      <c r="V5" s="18">
        <f>'Rolling 12'!V37</f>
        <v>151153</v>
      </c>
      <c r="W5" s="18">
        <f>'Rolling 12'!W37</f>
        <v>146136</v>
      </c>
      <c r="X5" s="18">
        <f>'Rolling 12'!X37</f>
        <v>219287</v>
      </c>
      <c r="Y5" s="18">
        <f>'Rolling 12'!Y37</f>
        <v>229451</v>
      </c>
      <c r="Z5" s="18">
        <f>'Rolling 12'!Z37</f>
        <v>232976</v>
      </c>
      <c r="AA5" s="18">
        <f>'Rolling 12'!AA37</f>
        <v>117162</v>
      </c>
      <c r="AB5" s="18">
        <f>'Rolling 12'!AB37</f>
        <v>98361</v>
      </c>
      <c r="AC5" s="18">
        <f>'Rolling 12'!AC37</f>
        <v>258571</v>
      </c>
      <c r="AD5" s="18">
        <f>'Rolling 12'!AD37</f>
        <v>318664</v>
      </c>
      <c r="AE5" s="18">
        <f>'Rolling 12'!AE37</f>
        <v>266230</v>
      </c>
      <c r="AF5" s="18">
        <f>'Rolling 12'!AF37</f>
        <v>228807</v>
      </c>
      <c r="AG5" s="18">
        <f>'Rolling 12'!AG37</f>
        <v>236290</v>
      </c>
      <c r="AH5" s="18">
        <f>'Rolling 12'!AH37</f>
        <v>351810</v>
      </c>
      <c r="AI5" s="18">
        <f>'Rolling 12'!AI37</f>
        <v>376411</v>
      </c>
      <c r="AJ5" s="18">
        <f>'Rolling 12'!AJ37</f>
        <v>306018</v>
      </c>
      <c r="AK5" s="18">
        <f>'Rolling 12'!AK37</f>
        <v>295432</v>
      </c>
      <c r="AL5" s="18">
        <f>'Rolling 12'!AL37</f>
        <v>328712</v>
      </c>
      <c r="AM5" s="18">
        <f>'Rolling 12'!AM37</f>
        <v>309760.1245225362</v>
      </c>
      <c r="AN5" s="18">
        <f>'Rolling 12'!AN37</f>
        <v>337876.2947426904</v>
      </c>
      <c r="AO5" s="18">
        <f>'Rolling 12'!AO37</f>
        <v>408868.06867269834</v>
      </c>
      <c r="AP5" s="18">
        <f>'Rolling 12'!AP37</f>
        <v>376147.72732208774</v>
      </c>
      <c r="AQ5" s="18">
        <f>'Rolling 12'!AQ37</f>
        <v>431303.09214357624</v>
      </c>
      <c r="AR5" s="18">
        <f>'Rolling 12'!AR37</f>
        <v>429780.31060429884</v>
      </c>
      <c r="AS5" s="18">
        <f>'Rolling 12'!AS37</f>
        <v>441060.5596202738</v>
      </c>
      <c r="AT5" s="18">
        <f>'Rolling 12'!AT37</f>
        <v>411747.79460485216</v>
      </c>
      <c r="AU5" s="18">
        <f>'Rolling 12'!AU37</f>
        <v>442872.62619994575</v>
      </c>
      <c r="AV5" s="18">
        <f>'Rolling 12'!AV37</f>
        <v>420485.50436479924</v>
      </c>
      <c r="AW5" s="18">
        <f>'Rolling 12'!AW37</f>
        <v>418322.6625156098</v>
      </c>
      <c r="AX5" s="18">
        <f>'Rolling 12'!AX37</f>
        <v>401016.41334781575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</row>
    <row r="6" spans="1:60" ht="12.75">
      <c r="A6" t="s">
        <v>207</v>
      </c>
      <c r="B6" s="18">
        <f>'Rolling 12'!B22</f>
        <v>362000</v>
      </c>
      <c r="C6" s="18">
        <f>'Rolling 12'!C22</f>
        <v>359000</v>
      </c>
      <c r="D6" s="18">
        <f>'Rolling 12'!D22</f>
        <v>375000</v>
      </c>
      <c r="E6" s="18">
        <f>'Rolling 12'!E22</f>
        <v>398000</v>
      </c>
      <c r="F6" s="18">
        <f>'Rolling 12'!F22</f>
        <v>415000</v>
      </c>
      <c r="G6" s="18">
        <f>'Rolling 12'!G22</f>
        <v>418000</v>
      </c>
      <c r="H6" s="18">
        <f>'Rolling 12'!H22</f>
        <v>425000</v>
      </c>
      <c r="I6" s="18">
        <f>'Rolling 12'!I22</f>
        <v>433000</v>
      </c>
      <c r="J6" s="18">
        <f>'Rolling 12'!J22</f>
        <v>441000</v>
      </c>
      <c r="K6" s="18">
        <f>'Rolling 12'!K22</f>
        <v>478000</v>
      </c>
      <c r="L6" s="18">
        <f>'Rolling 12'!L22</f>
        <v>494000</v>
      </c>
      <c r="M6" s="18">
        <f>'Rolling 12'!M22</f>
        <v>514000</v>
      </c>
      <c r="N6" s="18">
        <f>'Rolling 12'!N22</f>
        <v>548000</v>
      </c>
      <c r="O6" s="18">
        <f>'Rolling 12'!O22</f>
        <v>553000</v>
      </c>
      <c r="P6" s="18">
        <f>'Rolling 12'!P22</f>
        <v>537000</v>
      </c>
      <c r="Q6" s="18">
        <f>'Rolling 12'!Q22</f>
        <v>528000</v>
      </c>
      <c r="R6" s="18">
        <f>'Rolling 12'!R22</f>
        <v>491000</v>
      </c>
      <c r="S6" s="18">
        <f>'Rolling 12'!S22</f>
        <v>482000</v>
      </c>
      <c r="T6" s="18">
        <f>'Rolling 12'!T22</f>
        <v>468000</v>
      </c>
      <c r="U6" s="18">
        <f>'Rolling 12'!U22</f>
        <v>453000</v>
      </c>
      <c r="V6" s="18">
        <f>'Rolling 12'!V22</f>
        <v>453000</v>
      </c>
      <c r="W6" s="18">
        <f>'Rolling 12'!W22</f>
        <v>430000</v>
      </c>
      <c r="X6" s="18">
        <f>'Rolling 12'!X22</f>
        <v>422000</v>
      </c>
      <c r="Y6" s="18">
        <f>'Rolling 12'!Y22</f>
        <v>417000</v>
      </c>
      <c r="Z6" s="18">
        <f>'Rolling 12'!Z22</f>
        <v>404000</v>
      </c>
      <c r="AA6" s="18">
        <f>'Rolling 12'!AA22</f>
        <v>400000</v>
      </c>
      <c r="AB6" s="18">
        <f>'Rolling 12'!AB22</f>
        <v>397000</v>
      </c>
      <c r="AC6" s="18">
        <f>'Rolling 12'!AC22</f>
        <v>401000</v>
      </c>
      <c r="AD6" s="18">
        <f>'Rolling 12'!AD22</f>
        <v>405000</v>
      </c>
      <c r="AE6" s="18">
        <f>'Rolling 12'!AE22</f>
        <v>408000</v>
      </c>
      <c r="AF6" s="18">
        <f>'Rolling 12'!AF22</f>
        <v>412000</v>
      </c>
      <c r="AG6" s="18">
        <f>'Rolling 12'!AG22</f>
        <v>415000</v>
      </c>
      <c r="AH6" s="18">
        <f>'Rolling 12'!AH22</f>
        <v>419000</v>
      </c>
      <c r="AI6" s="18">
        <f>'Rolling 12'!AI22</f>
        <v>421000</v>
      </c>
      <c r="AJ6" s="18">
        <f>'Rolling 12'!AJ22</f>
        <v>420000</v>
      </c>
      <c r="AK6" s="18">
        <f>'Rolling 12'!AK22</f>
        <v>421000</v>
      </c>
      <c r="AL6" s="18">
        <f>'Rolling 12'!AL22</f>
        <v>420000</v>
      </c>
      <c r="AM6" s="18">
        <f>'Rolling 12'!AM22</f>
        <v>430141.34453781514</v>
      </c>
      <c r="AN6" s="18">
        <f>'Rolling 12'!AN22</f>
        <v>420046.1848739496</v>
      </c>
      <c r="AO6" s="18">
        <f>'Rolling 12'!AO22</f>
        <v>388131.8823529412</v>
      </c>
      <c r="AP6" s="18">
        <f>'Rolling 12'!AP22</f>
        <v>398564.8235294118</v>
      </c>
      <c r="AQ6" s="18">
        <f>'Rolling 12'!AQ22</f>
        <v>409007.7815126051</v>
      </c>
      <c r="AR6" s="18">
        <f>'Rolling 12'!AR22</f>
        <v>428405.66386554623</v>
      </c>
      <c r="AS6" s="18">
        <f>'Rolling 12'!AS22</f>
        <v>439516.9579831932</v>
      </c>
      <c r="AT6" s="18">
        <f>'Rolling 12'!AT22</f>
        <v>458673.8823529411</v>
      </c>
      <c r="AU6" s="18">
        <f>'Rolling 12'!AU22</f>
        <v>460659.4117647058</v>
      </c>
      <c r="AV6" s="18">
        <f>'Rolling 12'!AV22</f>
        <v>470444.050420168</v>
      </c>
      <c r="AW6" s="18">
        <f>'Rolling 12'!AW22</f>
        <v>470615.44537815126</v>
      </c>
      <c r="AX6" s="18">
        <f>'Rolling 12'!AX22</f>
        <v>464826.90756302513</v>
      </c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12.75">
      <c r="A7" t="s">
        <v>200</v>
      </c>
      <c r="B7" s="18">
        <f>'Rolling 12'!B11</f>
        <v>1609000</v>
      </c>
      <c r="C7" s="18">
        <f>'Rolling 12'!C11</f>
        <v>1631000</v>
      </c>
      <c r="D7" s="18">
        <f>'Rolling 12'!D11</f>
        <v>1627000</v>
      </c>
      <c r="E7" s="18">
        <f>'Rolling 12'!E11</f>
        <v>1757000</v>
      </c>
      <c r="F7" s="18">
        <f>'Rolling 12'!F11</f>
        <v>1775000</v>
      </c>
      <c r="G7" s="18">
        <f>'Rolling 12'!G11</f>
        <v>1834000</v>
      </c>
      <c r="H7" s="18">
        <f>'Rolling 12'!H11</f>
        <v>2032000</v>
      </c>
      <c r="I7" s="18">
        <f>'Rolling 12'!I11</f>
        <v>1914000</v>
      </c>
      <c r="J7" s="18">
        <f>'Rolling 12'!J11</f>
        <v>1990000</v>
      </c>
      <c r="K7" s="18">
        <f>'Rolling 12'!K11</f>
        <v>1920000</v>
      </c>
      <c r="L7" s="18">
        <f>'Rolling 12'!L11</f>
        <v>1915000</v>
      </c>
      <c r="M7" s="18">
        <f>'Rolling 12'!M11</f>
        <v>2028000</v>
      </c>
      <c r="N7" s="18">
        <f>'Rolling 12'!N11</f>
        <v>1878000</v>
      </c>
      <c r="O7" s="18">
        <f>'Rolling 12'!O11</f>
        <v>2221000</v>
      </c>
      <c r="P7" s="18">
        <f>'Rolling 12'!P11</f>
        <v>2250000</v>
      </c>
      <c r="Q7" s="18">
        <f>'Rolling 12'!Q11</f>
        <v>2006000</v>
      </c>
      <c r="R7" s="18">
        <f>'Rolling 12'!R11</f>
        <v>2074000</v>
      </c>
      <c r="S7" s="18">
        <f>'Rolling 12'!S11</f>
        <v>2070000</v>
      </c>
      <c r="T7" s="18">
        <f>'Rolling 12'!T11</f>
        <v>2048000</v>
      </c>
      <c r="U7" s="18">
        <f>'Rolling 12'!U11</f>
        <v>2074000</v>
      </c>
      <c r="V7" s="18">
        <f>'Rolling 12'!V11</f>
        <v>2131000</v>
      </c>
      <c r="W7" s="18">
        <f>'Rolling 12'!W11</f>
        <v>2079000</v>
      </c>
      <c r="X7" s="18">
        <f>'Rolling 12'!X11</f>
        <v>2160000</v>
      </c>
      <c r="Y7" s="18">
        <f>'Rolling 12'!Y11</f>
        <v>2191000</v>
      </c>
      <c r="Z7" s="18">
        <f>'Rolling 12'!Z11</f>
        <v>2134000</v>
      </c>
      <c r="AA7" s="18">
        <f>'Rolling 12'!AA11</f>
        <v>1835000</v>
      </c>
      <c r="AB7" s="18">
        <f>'Rolling 12'!AB11</f>
        <v>1800000</v>
      </c>
      <c r="AC7" s="18">
        <f>'Rolling 12'!AC11</f>
        <v>1958000</v>
      </c>
      <c r="AD7" s="18">
        <f>'Rolling 12'!AD11</f>
        <v>1964000</v>
      </c>
      <c r="AE7" s="18">
        <f>'Rolling 12'!AE11</f>
        <v>1906000</v>
      </c>
      <c r="AF7" s="18">
        <f>'Rolling 12'!AF11</f>
        <v>1874000</v>
      </c>
      <c r="AG7" s="18">
        <f>'Rolling 12'!AG11</f>
        <v>1874000</v>
      </c>
      <c r="AH7" s="18">
        <f>'Rolling 12'!AH11</f>
        <v>1979000</v>
      </c>
      <c r="AI7" s="18">
        <f>'Rolling 12'!AI11</f>
        <v>2025000</v>
      </c>
      <c r="AJ7" s="18">
        <f>'Rolling 12'!AJ11</f>
        <v>1952000</v>
      </c>
      <c r="AK7" s="18">
        <f>'Rolling 12'!AK11</f>
        <v>1918000</v>
      </c>
      <c r="AL7" s="18">
        <f>'Rolling 12'!AL11</f>
        <v>1946000</v>
      </c>
      <c r="AM7" s="18">
        <f>'Rolling 12'!AM11</f>
        <v>1944570</v>
      </c>
      <c r="AN7" s="18">
        <f>'Rolling 12'!AN11</f>
        <v>1960096</v>
      </c>
      <c r="AO7" s="18">
        <f>'Rolling 12'!AO11</f>
        <v>2018719</v>
      </c>
      <c r="AP7" s="18">
        <f>'Rolling 12'!AP11</f>
        <v>2032239</v>
      </c>
      <c r="AQ7" s="18">
        <f>'Rolling 12'!AQ11</f>
        <v>2089651</v>
      </c>
      <c r="AR7" s="18">
        <f>'Rolling 12'!AR11</f>
        <v>2112049</v>
      </c>
      <c r="AS7" s="18">
        <f>'Rolling 12'!AS11</f>
        <v>2123943</v>
      </c>
      <c r="AT7" s="18">
        <f>'Rolling 12'!AT11</f>
        <v>2103892</v>
      </c>
      <c r="AU7" s="18">
        <f>'Rolling 12'!AU11</f>
        <v>2111595</v>
      </c>
      <c r="AV7" s="18">
        <f>'Rolling 12'!AV11</f>
        <v>2104417</v>
      </c>
      <c r="AW7" s="18">
        <f>'Rolling 12'!AW11</f>
        <v>2130663</v>
      </c>
      <c r="AX7" s="18">
        <f>'Rolling 12'!AX11</f>
        <v>2127477</v>
      </c>
      <c r="AY7" s="18"/>
      <c r="AZ7" s="18"/>
      <c r="BA7" s="18"/>
      <c r="BB7" s="18"/>
      <c r="BC7" s="18"/>
      <c r="BD7" s="18"/>
      <c r="BE7" s="18"/>
      <c r="BF7" s="18"/>
      <c r="BG7" s="18"/>
      <c r="BH7" s="18"/>
    </row>
    <row r="9" spans="2:49" ht="12.75">
      <c r="B9" s="18" t="str">
        <f>'CF'!M6</f>
        <v>2009-01</v>
      </c>
      <c r="C9" s="18" t="str">
        <f>'CF'!N6</f>
        <v>2009-02</v>
      </c>
      <c r="D9" s="18" t="str">
        <f>'CF'!O6</f>
        <v>2009-03</v>
      </c>
      <c r="E9" s="18" t="str">
        <f>'CF'!P6</f>
        <v>2009-04</v>
      </c>
      <c r="F9" s="18" t="str">
        <f>'CF'!Q6</f>
        <v>2009-05</v>
      </c>
      <c r="G9" s="18" t="str">
        <f>'CF'!R6</f>
        <v>2009-06</v>
      </c>
      <c r="H9" s="18" t="str">
        <f>'CF'!S6</f>
        <v>2009-07</v>
      </c>
      <c r="I9" s="18" t="str">
        <f>'CF'!T6</f>
        <v>2009-08</v>
      </c>
      <c r="J9" s="18" t="str">
        <f>'CF'!U6</f>
        <v>2009-09</v>
      </c>
      <c r="K9" s="18" t="str">
        <f>'CF'!V6</f>
        <v>2009-10</v>
      </c>
      <c r="L9" s="18" t="str">
        <f>'CF'!W6</f>
        <v>2009-11</v>
      </c>
      <c r="M9" s="18" t="str">
        <f>'CF'!X6</f>
        <v>2009-12</v>
      </c>
      <c r="N9" s="18" t="str">
        <f>'CF'!Y6</f>
        <v>2010-01</v>
      </c>
      <c r="O9" s="18" t="str">
        <f>'CF'!Z6</f>
        <v>2010-02</v>
      </c>
      <c r="P9" s="18" t="str">
        <f>'CF'!AA6</f>
        <v>2010-03</v>
      </c>
      <c r="Q9" s="18" t="str">
        <f>'CF'!AB6</f>
        <v>2010-04</v>
      </c>
      <c r="R9" s="18" t="str">
        <f>'CF'!AC6</f>
        <v>2010-05</v>
      </c>
      <c r="S9" s="18" t="str">
        <f>'CF'!AD6</f>
        <v>2010-06</v>
      </c>
      <c r="T9" s="18" t="str">
        <f>'CF'!AE6</f>
        <v>2010-07</v>
      </c>
      <c r="U9" s="18" t="str">
        <f>'CF'!AF6</f>
        <v>2010-08</v>
      </c>
      <c r="V9" s="18" t="str">
        <f>'CF'!AG6</f>
        <v>2010-09</v>
      </c>
      <c r="W9" s="18" t="str">
        <f>'CF'!AH6</f>
        <v>2010-10</v>
      </c>
      <c r="X9" s="18" t="str">
        <f>'CF'!AI6</f>
        <v>2010-11</v>
      </c>
      <c r="Y9" s="18" t="str">
        <f>'CF'!AJ6</f>
        <v>2010-12</v>
      </c>
      <c r="Z9" s="18" t="str">
        <f>'CF'!AK6</f>
        <v>2011-01</v>
      </c>
      <c r="AA9" s="18" t="str">
        <f>'CF'!AL6</f>
        <v>2011-02</v>
      </c>
      <c r="AB9" s="18" t="str">
        <f>'CF'!AM6</f>
        <v>2011-03</v>
      </c>
      <c r="AC9" s="18" t="str">
        <f>'CF'!AN6</f>
        <v>2011-04</v>
      </c>
      <c r="AD9" s="18" t="str">
        <f>'CF'!AO6</f>
        <v>2011-05</v>
      </c>
      <c r="AE9" s="18" t="str">
        <f>'CF'!AP6</f>
        <v>2011-06</v>
      </c>
      <c r="AF9" s="18" t="str">
        <f>'CF'!AQ6</f>
        <v>2011-07</v>
      </c>
      <c r="AG9" s="18" t="str">
        <f>'CF'!AR6</f>
        <v>2011-08</v>
      </c>
      <c r="AH9" s="18" t="str">
        <f>'CF'!AS6</f>
        <v>2011-09</v>
      </c>
      <c r="AI9" s="18" t="str">
        <f>'CF'!AT6</f>
        <v>2011-10</v>
      </c>
      <c r="AJ9" s="18" t="str">
        <f>'CF'!AU6</f>
        <v>2011-11</v>
      </c>
      <c r="AK9" s="18" t="str">
        <f>'CF'!AV6</f>
        <v>2011-12</v>
      </c>
      <c r="AL9" s="18" t="str">
        <f>'CF'!AW6</f>
        <v>2012-01</v>
      </c>
      <c r="AM9" s="18" t="str">
        <f>'CF'!AX6</f>
        <v>2012-02</v>
      </c>
      <c r="AN9" s="18" t="str">
        <f>'CF'!AY6</f>
        <v>2012-03</v>
      </c>
      <c r="AO9" s="18" t="str">
        <f>'CF'!AZ6</f>
        <v>2012-04</v>
      </c>
      <c r="AP9" s="18" t="str">
        <f>'CF'!BA6</f>
        <v>2012-05</v>
      </c>
      <c r="AQ9" s="18" t="str">
        <f>'CF'!BB6</f>
        <v>2012-06</v>
      </c>
      <c r="AR9" s="18" t="str">
        <f>'CF'!BC6</f>
        <v>2012-07</v>
      </c>
      <c r="AS9" s="18" t="str">
        <f>'CF'!BD6</f>
        <v>2012-08</v>
      </c>
      <c r="AT9" s="18" t="str">
        <f>'CF'!BE6</f>
        <v>2012-09</v>
      </c>
      <c r="AU9" s="18" t="str">
        <f>'CF'!BF6</f>
        <v>2012-10</v>
      </c>
      <c r="AV9" s="18" t="str">
        <f>'CF'!BG6</f>
        <v>2012-11</v>
      </c>
      <c r="AW9" s="18" t="str">
        <f>'CF'!BH6</f>
        <v>2012-12</v>
      </c>
    </row>
    <row r="10" spans="1:49" ht="12.75">
      <c r="A10" t="s">
        <v>127</v>
      </c>
      <c r="B10" s="18">
        <f>'CF'!M21</f>
        <v>72240</v>
      </c>
      <c r="C10" s="18">
        <f>'CF'!N21</f>
        <v>64269</v>
      </c>
      <c r="D10" s="18">
        <f>'CF'!O21</f>
        <v>36298</v>
      </c>
      <c r="E10" s="18">
        <f>'CF'!P21</f>
        <v>-63104</v>
      </c>
      <c r="F10" s="18">
        <f>'CF'!Q21</f>
        <v>38907</v>
      </c>
      <c r="G10" s="18">
        <f>'CF'!R21</f>
        <v>-40052</v>
      </c>
      <c r="H10" s="18">
        <f>'CF'!S21</f>
        <v>29995</v>
      </c>
      <c r="I10" s="18">
        <f>'CF'!T21</f>
        <v>-37964</v>
      </c>
      <c r="J10" s="18">
        <f>'CF'!U21</f>
        <v>2082</v>
      </c>
      <c r="K10" s="18">
        <f>'CF'!V21</f>
        <v>16972</v>
      </c>
      <c r="L10" s="18">
        <f>'CF'!W21</f>
        <v>41012</v>
      </c>
      <c r="M10" s="18">
        <f>'CF'!X21</f>
        <v>-58291</v>
      </c>
      <c r="N10" s="18">
        <f>'CF'!Y21</f>
        <v>189106</v>
      </c>
      <c r="O10" s="18">
        <f>'CF'!Z21</f>
        <v>92152</v>
      </c>
      <c r="P10" s="18">
        <f>'CF'!AA21</f>
        <v>80199</v>
      </c>
      <c r="Q10" s="18">
        <f>'CF'!AB21</f>
        <v>-98754</v>
      </c>
      <c r="R10" s="18">
        <f>'CF'!AC21</f>
        <v>23843</v>
      </c>
      <c r="S10" s="18">
        <f>'CF'!AD21</f>
        <v>78896</v>
      </c>
      <c r="T10" s="18">
        <f>'CF'!AE21</f>
        <v>30054</v>
      </c>
      <c r="U10" s="18">
        <f>'CF'!AF21</f>
        <v>13082</v>
      </c>
      <c r="V10" s="18">
        <f>'CF'!AG21</f>
        <v>51065</v>
      </c>
      <c r="W10" s="18">
        <f>'CF'!AH21</f>
        <v>-1877</v>
      </c>
      <c r="X10" s="18">
        <f>'CF'!AI21</f>
        <v>82176</v>
      </c>
      <c r="Y10" s="18">
        <f>'CF'!AJ21</f>
        <v>-63766</v>
      </c>
      <c r="Z10" s="18">
        <f>'CF'!AK21</f>
        <v>83292</v>
      </c>
      <c r="AA10" s="18">
        <f>'CF'!AL21</f>
        <v>162351</v>
      </c>
      <c r="AB10" s="18">
        <f>'CF'!AM21</f>
        <v>-46591</v>
      </c>
      <c r="AC10" s="18">
        <f>'CF'!AN21</f>
        <v>-33661</v>
      </c>
      <c r="AD10" s="18">
        <f>'CF'!AO21</f>
        <v>-2591</v>
      </c>
      <c r="AE10" s="18">
        <f>'CF'!AP21</f>
        <v>64473</v>
      </c>
      <c r="AF10" s="18">
        <f>'CF'!AQ21</f>
        <v>53537</v>
      </c>
      <c r="AG10" s="18">
        <f>'CF'!AR21</f>
        <v>33602</v>
      </c>
      <c r="AH10" s="18">
        <f>'CF'!AS21</f>
        <v>-4334</v>
      </c>
      <c r="AI10" s="18">
        <f>'CF'!AT21</f>
        <v>48730</v>
      </c>
      <c r="AJ10" s="18">
        <f>'CF'!AU21</f>
        <v>8590</v>
      </c>
      <c r="AK10" s="18">
        <f>'CF'!AV21</f>
        <v>5514</v>
      </c>
      <c r="AL10" s="18">
        <f>'CF'!AW21</f>
        <v>16270.124522536324</v>
      </c>
      <c r="AM10" s="18">
        <f>'CF'!AX21</f>
        <v>-40788.82977984584</v>
      </c>
      <c r="AN10" s="18">
        <f>'CF'!AY21</f>
        <v>46753.77393000777</v>
      </c>
      <c r="AO10" s="18">
        <f>'CF'!AZ21</f>
        <v>23721.658649389683</v>
      </c>
      <c r="AP10" s="18">
        <f>'CF'!BA21</f>
        <v>-50577.63517851152</v>
      </c>
      <c r="AQ10" s="18">
        <f>'CF'!BB21</f>
        <v>65264.218460722375</v>
      </c>
      <c r="AR10" s="18">
        <f>'CF'!BC21</f>
        <v>29821.249015975198</v>
      </c>
      <c r="AS10" s="18">
        <f>'CF'!BD21</f>
        <v>109784.23498457804</v>
      </c>
      <c r="AT10" s="18">
        <f>'CF'!BE21</f>
        <v>-8413.168404906537</v>
      </c>
      <c r="AU10" s="18">
        <f>'CF'!BF21</f>
        <v>146473.8781648537</v>
      </c>
      <c r="AV10" s="18">
        <f>'CF'!BG21</f>
        <v>11253.15815081064</v>
      </c>
      <c r="AW10" s="18">
        <f>'CF'!BH21</f>
        <v>-2856.949167794097</v>
      </c>
    </row>
    <row r="11" spans="1:49" ht="12.75">
      <c r="A11" t="s">
        <v>1</v>
      </c>
      <c r="B11" s="18">
        <f>'PL by Month'!N37</f>
        <v>2140</v>
      </c>
      <c r="C11" s="18">
        <f>'PL by Month'!O37</f>
        <v>-43831</v>
      </c>
      <c r="D11" s="18">
        <f>'PL by Month'!P37</f>
        <v>-14802</v>
      </c>
      <c r="E11" s="18">
        <f>'PL by Month'!Q37</f>
        <v>-34204</v>
      </c>
      <c r="F11" s="18">
        <f>'PL by Month'!R37</f>
        <v>49807</v>
      </c>
      <c r="G11" s="18">
        <f>'PL by Month'!S37</f>
        <v>83848</v>
      </c>
      <c r="H11" s="18">
        <f>'PL by Month'!T37</f>
        <v>11895</v>
      </c>
      <c r="I11" s="18">
        <f>'PL by Month'!U37</f>
        <v>-1064</v>
      </c>
      <c r="J11" s="18">
        <f>'PL by Month'!V37</f>
        <v>-22018</v>
      </c>
      <c r="K11" s="18">
        <f>'PL by Month'!W37</f>
        <v>65872</v>
      </c>
      <c r="L11" s="18">
        <f>'PL by Month'!X37</f>
        <v>20912</v>
      </c>
      <c r="M11" s="18">
        <f>'PL by Month'!Y37</f>
        <v>-22391</v>
      </c>
      <c r="N11" s="18">
        <f>'PL by Month'!Z37</f>
        <v>165006</v>
      </c>
      <c r="O11" s="18">
        <f>'PL by Month'!AA37</f>
        <v>-22948</v>
      </c>
      <c r="P11" s="18">
        <f>'PL by Month'!AB37</f>
        <v>-253901</v>
      </c>
      <c r="Q11" s="18">
        <f>'PL by Month'!AC37</f>
        <v>23146</v>
      </c>
      <c r="R11" s="18">
        <f>'PL by Month'!AD37</f>
        <v>42743</v>
      </c>
      <c r="S11" s="18">
        <f>'PL by Month'!AE37</f>
        <v>106796</v>
      </c>
      <c r="T11" s="18">
        <f>'PL by Month'!AF37</f>
        <v>26954</v>
      </c>
      <c r="U11" s="18">
        <f>'PL by Month'!AG37</f>
        <v>20982</v>
      </c>
      <c r="V11" s="18">
        <f>'PL by Month'!AH37</f>
        <v>-27035</v>
      </c>
      <c r="W11" s="18">
        <f>'PL by Month'!AI37</f>
        <v>139023</v>
      </c>
      <c r="X11" s="18">
        <f>'PL by Month'!AJ37</f>
        <v>31076</v>
      </c>
      <c r="Y11" s="18">
        <f>'PL by Month'!AK37</f>
        <v>-18866</v>
      </c>
      <c r="Z11" s="18">
        <f>'PL by Month'!AL37</f>
        <v>49192</v>
      </c>
      <c r="AA11" s="18">
        <f>'PL by Month'!AM37</f>
        <v>-41749</v>
      </c>
      <c r="AB11" s="18">
        <f>'PL by Month'!AN37</f>
        <v>-93691</v>
      </c>
      <c r="AC11" s="18">
        <f>'PL by Month'!AO37</f>
        <v>83239</v>
      </c>
      <c r="AD11" s="18">
        <f>'PL by Month'!AP37</f>
        <v>-9691</v>
      </c>
      <c r="AE11" s="18">
        <f>'PL by Month'!AQ37</f>
        <v>69373</v>
      </c>
      <c r="AF11" s="18">
        <f>'PL by Month'!AR37</f>
        <v>34437</v>
      </c>
      <c r="AG11" s="18">
        <f>'PL by Month'!AS37</f>
        <v>136502</v>
      </c>
      <c r="AH11" s="18">
        <f>'PL by Month'!AT37</f>
        <v>-2434</v>
      </c>
      <c r="AI11" s="18">
        <f>'PL by Month'!AU37</f>
        <v>68630</v>
      </c>
      <c r="AJ11" s="18">
        <f>'PL by Month'!AV37</f>
        <v>20490</v>
      </c>
      <c r="AK11" s="18">
        <f>'PL by Month'!AW37</f>
        <v>14414</v>
      </c>
      <c r="AL11" s="18">
        <f>'PL by Month'!AX37</f>
        <v>30240.124522536298</v>
      </c>
      <c r="AM11" s="18">
        <f>'PL by Month'!AY37</f>
        <v>-13632.829779845819</v>
      </c>
      <c r="AN11" s="18">
        <f>'PL by Month'!AZ37</f>
        <v>-22699.22606999223</v>
      </c>
      <c r="AO11" s="18">
        <f>'PL by Month'!BA37</f>
        <v>50518.65864938967</v>
      </c>
      <c r="AP11" s="18">
        <f>'PL by Month'!BB37</f>
        <v>45464.36482148848</v>
      </c>
      <c r="AQ11" s="18">
        <f>'PL by Month'!BC37</f>
        <v>67850.21846072238</v>
      </c>
      <c r="AR11" s="18">
        <f>'PL by Month'!BD37</f>
        <v>45717.2490159752</v>
      </c>
      <c r="AS11" s="18">
        <f>'PL by Month'!BE37</f>
        <v>107189.23498457801</v>
      </c>
      <c r="AT11" s="18">
        <f>'PL by Month'!BF37</f>
        <v>28690.831595093492</v>
      </c>
      <c r="AU11" s="18">
        <f>'PL by Month'!BG37</f>
        <v>46242.8781648537</v>
      </c>
      <c r="AV11" s="18">
        <f>'PL by Month'!BH37</f>
        <v>18327.15815081064</v>
      </c>
      <c r="AW11" s="18">
        <f>'PL by Month'!BI37</f>
        <v>-2892.249167794073</v>
      </c>
    </row>
    <row r="12" spans="1:49" ht="12.75">
      <c r="A12" t="s">
        <v>142</v>
      </c>
      <c r="B12" s="18">
        <f>'BS'!N8</f>
        <v>87264</v>
      </c>
      <c r="C12" s="18">
        <f>'BS'!O8</f>
        <v>136533</v>
      </c>
      <c r="D12" s="18">
        <f>'BS'!P8</f>
        <v>157831</v>
      </c>
      <c r="E12" s="18">
        <f>'BS'!Q8</f>
        <v>153727</v>
      </c>
      <c r="F12" s="18">
        <f>'BS'!R8</f>
        <v>180634</v>
      </c>
      <c r="G12" s="18">
        <f>'BS'!S8</f>
        <v>123582</v>
      </c>
      <c r="H12" s="18">
        <f>'BS'!T8</f>
        <v>135577</v>
      </c>
      <c r="I12" s="18">
        <f>'BS'!U8</f>
        <v>80613</v>
      </c>
      <c r="J12" s="18">
        <f>'BS'!V8</f>
        <v>64695</v>
      </c>
      <c r="K12" s="18">
        <f>'BS'!W8</f>
        <v>90667</v>
      </c>
      <c r="L12" s="18">
        <f>'BS'!X8</f>
        <v>74679</v>
      </c>
      <c r="M12" s="18">
        <f>'BS'!Y8</f>
        <v>28388</v>
      </c>
      <c r="N12" s="18">
        <f>'BS'!Z8</f>
        <v>148494</v>
      </c>
      <c r="O12" s="18">
        <f>'BS'!AA8</f>
        <v>228646</v>
      </c>
      <c r="P12" s="18">
        <f>'BS'!AB8</f>
        <v>298845</v>
      </c>
      <c r="Q12" s="18">
        <f>'BS'!AC8</f>
        <v>182091</v>
      </c>
      <c r="R12" s="18">
        <f>'BS'!AD8</f>
        <v>168934</v>
      </c>
      <c r="S12" s="18">
        <f>'BS'!AE8</f>
        <v>238830</v>
      </c>
      <c r="T12" s="18">
        <f>'BS'!AF8</f>
        <v>247884</v>
      </c>
      <c r="U12" s="18">
        <f>'BS'!AG8</f>
        <v>236966</v>
      </c>
      <c r="V12" s="18">
        <f>'BS'!AH8</f>
        <v>247031</v>
      </c>
      <c r="W12" s="18">
        <f>'BS'!AI8</f>
        <v>225154</v>
      </c>
      <c r="X12" s="18">
        <f>'BS'!AJ8</f>
        <v>298330</v>
      </c>
      <c r="Y12" s="18">
        <f>'BS'!AK8</f>
        <v>198564</v>
      </c>
      <c r="Z12" s="18">
        <f>'BS'!AL8</f>
        <v>241856</v>
      </c>
      <c r="AA12" s="18">
        <f>'BS'!AM8</f>
        <v>394207</v>
      </c>
      <c r="AB12" s="18">
        <f>'BS'!AN8</f>
        <v>337616</v>
      </c>
      <c r="AC12" s="18">
        <f>'BS'!AO8</f>
        <v>285955</v>
      </c>
      <c r="AD12" s="18">
        <f>'BS'!AP8</f>
        <v>271364</v>
      </c>
      <c r="AE12" s="18">
        <f>'BS'!AQ8</f>
        <v>309837</v>
      </c>
      <c r="AF12" s="18">
        <f>'BS'!AR8</f>
        <v>352374</v>
      </c>
      <c r="AG12" s="18">
        <f>'BS'!AS8</f>
        <v>374976</v>
      </c>
      <c r="AH12" s="18">
        <f>'BS'!AT8</f>
        <v>314642</v>
      </c>
      <c r="AI12" s="18">
        <f>'BS'!AU8</f>
        <v>352372</v>
      </c>
      <c r="AJ12" s="18">
        <f>'BS'!AV8</f>
        <v>354962</v>
      </c>
      <c r="AK12" s="18">
        <f>'BS'!AW8</f>
        <v>228476</v>
      </c>
      <c r="AL12" s="18">
        <f>'BS'!AX8</f>
        <v>234746.12452253632</v>
      </c>
      <c r="AM12" s="18">
        <f>'BS'!AY8</f>
        <v>183957.2947426905</v>
      </c>
      <c r="AN12" s="18">
        <f>'BS'!AZ8</f>
        <v>220711.06867269825</v>
      </c>
      <c r="AO12" s="18">
        <f>'BS'!BA8</f>
        <v>234432.72732208794</v>
      </c>
      <c r="AP12" s="18">
        <f>'BS'!BB8</f>
        <v>173855.09214357642</v>
      </c>
      <c r="AQ12" s="18">
        <f>'BS'!BC8</f>
        <v>229119.31060429878</v>
      </c>
      <c r="AR12" s="18">
        <f>'BS'!BD8</f>
        <v>248940.55962027397</v>
      </c>
      <c r="AS12" s="18">
        <f>'BS'!BE8</f>
        <v>348724.794604852</v>
      </c>
      <c r="AT12" s="18">
        <f>'BS'!BF8</f>
        <v>330311.62619994546</v>
      </c>
      <c r="AU12" s="18">
        <f>'BS'!BG8</f>
        <v>466785.5043647991</v>
      </c>
      <c r="AV12" s="18">
        <f>'BS'!BH8</f>
        <v>468038.66251560976</v>
      </c>
      <c r="AW12" s="18">
        <f>'BS'!BI8</f>
        <v>455181.7133478157</v>
      </c>
    </row>
    <row r="15" spans="1:52" ht="12.75">
      <c r="A15" t="s">
        <v>157</v>
      </c>
      <c r="B15" s="18" t="str">
        <f>'Rolling 12'!B5</f>
        <v>2008-12</v>
      </c>
      <c r="C15" s="18" t="str">
        <f>'Rolling 12'!C5</f>
        <v>2009-01</v>
      </c>
      <c r="D15" s="18" t="str">
        <f>'Rolling 12'!D5</f>
        <v>2009-02</v>
      </c>
      <c r="E15" s="18" t="str">
        <f>'Rolling 12'!E5</f>
        <v>2009-03</v>
      </c>
      <c r="F15" s="18" t="str">
        <f>'Rolling 12'!F5</f>
        <v>2009-04</v>
      </c>
      <c r="G15" s="18" t="str">
        <f>'Rolling 12'!G5</f>
        <v>2009-05</v>
      </c>
      <c r="H15" s="18" t="str">
        <f>'Rolling 12'!H5</f>
        <v>2009-06</v>
      </c>
      <c r="I15" s="18" t="str">
        <f>'Rolling 12'!I5</f>
        <v>2009-07</v>
      </c>
      <c r="J15" s="18" t="str">
        <f>'Rolling 12'!J5</f>
        <v>2009-08</v>
      </c>
      <c r="K15" s="18" t="str">
        <f>'Rolling 12'!K5</f>
        <v>2009-09</v>
      </c>
      <c r="L15" s="18" t="str">
        <f>'Rolling 12'!L5</f>
        <v>2009-10</v>
      </c>
      <c r="M15" s="18" t="str">
        <f>'Rolling 12'!M5</f>
        <v>2009-11</v>
      </c>
      <c r="N15" s="18" t="str">
        <f>'Rolling 12'!N5</f>
        <v>2009-12</v>
      </c>
      <c r="O15" s="18" t="str">
        <f>'Rolling 12'!O5</f>
        <v>2010-01</v>
      </c>
      <c r="P15" s="18" t="str">
        <f>'Rolling 12'!P5</f>
        <v>2010-02</v>
      </c>
      <c r="Q15" s="18" t="str">
        <f>'Rolling 12'!Q5</f>
        <v>2010-03</v>
      </c>
      <c r="R15" s="18" t="str">
        <f>'Rolling 12'!R5</f>
        <v>2010-04</v>
      </c>
      <c r="S15" s="18" t="str">
        <f>'Rolling 12'!S5</f>
        <v>2010-05</v>
      </c>
      <c r="T15" s="18" t="str">
        <f>'Rolling 12'!T5</f>
        <v>2010-06</v>
      </c>
      <c r="U15" s="18" t="str">
        <f>'Rolling 12'!U5</f>
        <v>2010-07</v>
      </c>
      <c r="V15" s="18" t="str">
        <f>'Rolling 12'!V5</f>
        <v>2010-08</v>
      </c>
      <c r="W15" s="18" t="str">
        <f>'Rolling 12'!W5</f>
        <v>2010-09</v>
      </c>
      <c r="X15" s="18" t="str">
        <f>'Rolling 12'!X5</f>
        <v>2010-10</v>
      </c>
      <c r="Y15" s="18" t="str">
        <f>'Rolling 12'!Y5</f>
        <v>2010-11</v>
      </c>
      <c r="Z15" s="18" t="str">
        <f>'Rolling 12'!Z5</f>
        <v>2010-12</v>
      </c>
      <c r="AA15" s="18" t="str">
        <f>'Rolling 12'!AA5</f>
        <v>2011-01</v>
      </c>
      <c r="AB15" s="18" t="str">
        <f>'Rolling 12'!AB5</f>
        <v>2011-02</v>
      </c>
      <c r="AC15" s="18" t="str">
        <f>'Rolling 12'!AC5</f>
        <v>2011-03</v>
      </c>
      <c r="AD15" s="18" t="str">
        <f>'Rolling 12'!AD5</f>
        <v>2011-04</v>
      </c>
      <c r="AE15" s="18" t="str">
        <f>'Rolling 12'!AE5</f>
        <v>2011-05</v>
      </c>
      <c r="AF15" s="18" t="str">
        <f>'Rolling 12'!AF5</f>
        <v>2011-06</v>
      </c>
      <c r="AG15" s="18" t="str">
        <f>'Rolling 12'!AG5</f>
        <v>2011-07</v>
      </c>
      <c r="AH15" s="18" t="str">
        <f>'Rolling 12'!AH5</f>
        <v>2011-08</v>
      </c>
      <c r="AI15" s="18" t="str">
        <f>'Rolling 12'!AI5</f>
        <v>2011-09</v>
      </c>
      <c r="AJ15" s="18" t="str">
        <f>'Rolling 12'!AJ5</f>
        <v>2011-10</v>
      </c>
      <c r="AK15" s="18" t="str">
        <f>'Rolling 12'!AK5</f>
        <v>2011-11</v>
      </c>
      <c r="AL15" s="18" t="str">
        <f>'Rolling 12'!AL5</f>
        <v>2011-12</v>
      </c>
      <c r="AM15" s="18" t="str">
        <f>'Rolling 12'!AM5</f>
        <v>2012-01</v>
      </c>
      <c r="AN15" s="18" t="str">
        <f>'Rolling 12'!AN5</f>
        <v>2012-02</v>
      </c>
      <c r="AO15" s="18" t="str">
        <f>'Rolling 12'!AO5</f>
        <v>2012-03</v>
      </c>
      <c r="AP15" s="18" t="str">
        <f>'Rolling 12'!AP5</f>
        <v>2012-04</v>
      </c>
      <c r="AQ15" s="18" t="str">
        <f>'Rolling 12'!AQ5</f>
        <v>2012-05</v>
      </c>
      <c r="AR15" s="18" t="str">
        <f>'Rolling 12'!AR5</f>
        <v>2012-06</v>
      </c>
      <c r="AS15" s="18" t="str">
        <f>'Rolling 12'!AS5</f>
        <v>2012-07</v>
      </c>
      <c r="AT15" s="18" t="str">
        <f>'Rolling 12'!AT5</f>
        <v>2012-08</v>
      </c>
      <c r="AU15" s="18" t="str">
        <f>'Rolling 12'!AU5</f>
        <v>2012-09</v>
      </c>
      <c r="AV15" s="18" t="str">
        <f>'Rolling 12'!AV5</f>
        <v>2012-10</v>
      </c>
      <c r="AW15" s="18" t="str">
        <f>'Rolling 12'!AW5</f>
        <v>2012-11</v>
      </c>
      <c r="AX15" s="18" t="str">
        <f>'Rolling 12'!AX5</f>
        <v>2012-12</v>
      </c>
      <c r="AY15" s="18"/>
      <c r="AZ15" s="18"/>
    </row>
    <row r="16" spans="1:52" ht="12.75">
      <c r="A16" t="s">
        <v>158</v>
      </c>
      <c r="B16" s="64">
        <f>'Rolling 12'!B15</f>
        <v>3.4380341880341883</v>
      </c>
      <c r="C16" s="64">
        <f>'Rolling 12'!C15</f>
        <v>3.3016194331983804</v>
      </c>
      <c r="D16" s="64">
        <f>'Rolling 12'!D15</f>
        <v>3.27364185110664</v>
      </c>
      <c r="E16" s="64">
        <f>'Rolling 12'!E15</f>
        <v>3.514</v>
      </c>
      <c r="F16" s="64">
        <f>'Rolling 12'!F15</f>
        <v>3.487229862475442</v>
      </c>
      <c r="G16" s="64">
        <f>'Rolling 12'!G15</f>
        <v>3.421641791044776</v>
      </c>
      <c r="H16" s="64">
        <f>'Rolling 12'!H15</f>
        <v>3.756007393715342</v>
      </c>
      <c r="I16" s="64">
        <f>'Rolling 12'!I15</f>
        <v>3.411764705882353</v>
      </c>
      <c r="J16" s="64">
        <f>'Rolling 12'!J15</f>
        <v>3.448873483535529</v>
      </c>
      <c r="K16" s="64">
        <f>'Rolling 12'!K15</f>
        <v>3.3217993079584773</v>
      </c>
      <c r="L16" s="64">
        <f>'Rolling 12'!L15</f>
        <v>3.6685823754789273</v>
      </c>
      <c r="M16" s="64">
        <f>'Rolling 12'!M15</f>
        <v>4.088709677419355</v>
      </c>
      <c r="N16" s="64">
        <f>'Rolling 12'!N15</f>
        <v>3.928870292887029</v>
      </c>
      <c r="O16" s="64">
        <f>'Rolling 12'!O15</f>
        <v>4.477822580645161</v>
      </c>
      <c r="P16" s="64">
        <f>'Rolling 12'!P15</f>
        <v>4.4204322200392925</v>
      </c>
      <c r="Q16" s="64">
        <f>'Rolling 12'!Q15</f>
        <v>3.91796875</v>
      </c>
      <c r="R16" s="64">
        <f>'Rolling 12'!R15</f>
        <v>3.833641404805915</v>
      </c>
      <c r="S16" s="64">
        <f>'Rolling 12'!S15</f>
        <v>3.8404452690166977</v>
      </c>
      <c r="T16" s="64">
        <f>'Rolling 12'!T15</f>
        <v>3.7785977859778597</v>
      </c>
      <c r="U16" s="64">
        <f>'Rolling 12'!U15</f>
        <v>3.8195211786372005</v>
      </c>
      <c r="V16" s="64">
        <f>'Rolling 12'!V15</f>
        <v>3.7451669595782073</v>
      </c>
      <c r="W16" s="64">
        <f>'Rolling 12'!W15</f>
        <v>3.752707581227437</v>
      </c>
      <c r="X16" s="64">
        <f>'Rolling 12'!X15</f>
        <v>3.8297872340425534</v>
      </c>
      <c r="Y16" s="64">
        <f>'Rolling 12'!Y15</f>
        <v>3.8641975308641974</v>
      </c>
      <c r="Z16" s="64">
        <f>'Rolling 12'!Z15</f>
        <v>3.8312387791741473</v>
      </c>
      <c r="AA16" s="64">
        <f>'Rolling 12'!AA15</f>
        <v>3.5153256704980844</v>
      </c>
      <c r="AB16" s="64">
        <f>'Rolling 12'!AB15</f>
        <v>3.435114503816794</v>
      </c>
      <c r="AC16" s="64">
        <f>'Rolling 12'!AC15</f>
        <v>3.687382297551789</v>
      </c>
      <c r="AD16" s="64">
        <f>'Rolling 12'!AD15</f>
        <v>3.8661417322834644</v>
      </c>
      <c r="AE16" s="64">
        <f>'Rolling 12'!AE15</f>
        <v>3.789264413518887</v>
      </c>
      <c r="AF16" s="64">
        <f>'Rolling 12'!AF15</f>
        <v>3.748</v>
      </c>
      <c r="AG16" s="64">
        <f>'Rolling 12'!AG15</f>
        <v>3.8559670781893005</v>
      </c>
      <c r="AH16" s="64">
        <f>'Rolling 12'!AH15</f>
        <v>4.219616204690832</v>
      </c>
      <c r="AI16" s="64">
        <f>'Rolling 12'!AI15</f>
        <v>4.354838709677419</v>
      </c>
      <c r="AJ16" s="64">
        <f>'Rolling 12'!AJ15</f>
        <v>4.299559471365638</v>
      </c>
      <c r="AK16" s="64">
        <f>'Rolling 12'!AK15</f>
        <v>4.28125</v>
      </c>
      <c r="AL16" s="64">
        <f>'Rolling 12'!AL15</f>
        <v>4.258205689277899</v>
      </c>
      <c r="AM16" s="64">
        <f>'Rolling 12'!AM15</f>
        <v>4.050552119275408</v>
      </c>
      <c r="AN16" s="64">
        <f>'Rolling 12'!AN15</f>
        <v>4.157728404329017</v>
      </c>
      <c r="AO16" s="64">
        <f>'Rolling 12'!AO15</f>
        <v>4.324985418801756</v>
      </c>
      <c r="AP16" s="64">
        <f>'Rolling 12'!AP15</f>
        <v>4.316912775729368</v>
      </c>
      <c r="AQ16" s="64">
        <f>'Rolling 12'!AQ15</f>
        <v>4.526740518507306</v>
      </c>
      <c r="AR16" s="64">
        <f>'Rolling 12'!AR15</f>
        <v>4.53103797533529</v>
      </c>
      <c r="AS16" s="64">
        <f>'Rolling 12'!AS15</f>
        <v>4.532203381746083</v>
      </c>
      <c r="AT16" s="64">
        <f>'Rolling 12'!AT15</f>
        <v>4.428934782048768</v>
      </c>
      <c r="AU16" s="64">
        <f>'Rolling 12'!AU15</f>
        <v>4.466270725037264</v>
      </c>
      <c r="AV16" s="64">
        <f>'Rolling 12'!AV15</f>
        <v>4.340231706529973</v>
      </c>
      <c r="AW16" s="64">
        <f>'Rolling 12'!AW15</f>
        <v>4.291288279625792</v>
      </c>
      <c r="AX16" s="64">
        <f>'Rolling 12'!AX15</f>
        <v>4.25</v>
      </c>
      <c r="AY16" s="64"/>
      <c r="AZ16" s="64"/>
    </row>
    <row r="17" spans="1:52" ht="12.75">
      <c r="A17" t="s">
        <v>159</v>
      </c>
      <c r="B17" s="62">
        <f>'Rolling 12'!B27</f>
        <v>3.1519337016574585</v>
      </c>
      <c r="C17" s="62">
        <f>'Rolling 12'!C27</f>
        <v>3.167130919220056</v>
      </c>
      <c r="D17" s="62">
        <f>'Rolling 12'!D27</f>
        <v>3.013333333333333</v>
      </c>
      <c r="E17" s="62">
        <f>'Rolling 12'!E27</f>
        <v>3.158291457286432</v>
      </c>
      <c r="F17" s="62">
        <f>'Rolling 12'!F27</f>
        <v>3.0506024096385542</v>
      </c>
      <c r="G17" s="62">
        <f>'Rolling 12'!G27</f>
        <v>3.1052631578947367</v>
      </c>
      <c r="H17" s="62">
        <f>'Rolling 12'!H27</f>
        <v>3.508235294117647</v>
      </c>
      <c r="I17" s="62">
        <f>'Rolling 12'!I27</f>
        <v>3.1247113163972284</v>
      </c>
      <c r="J17" s="62">
        <f>'Rolling 12'!J27</f>
        <v>3.204081632653061</v>
      </c>
      <c r="K17" s="62">
        <f>'Rolling 12'!K27</f>
        <v>2.807531380753138</v>
      </c>
      <c r="L17" s="62">
        <f>'Rolling 12'!L27</f>
        <v>2.8198380566801617</v>
      </c>
      <c r="M17" s="62">
        <f>'Rolling 12'!M27</f>
        <v>2.980544747081712</v>
      </c>
      <c r="N17" s="62">
        <f>'Rolling 12'!N27</f>
        <v>2.5547445255474455</v>
      </c>
      <c r="O17" s="62">
        <f>'Rolling 12'!O27</f>
        <v>3.119349005424955</v>
      </c>
      <c r="P17" s="62">
        <f>'Rolling 12'!P27</f>
        <v>3.2420856610800746</v>
      </c>
      <c r="Q17" s="62">
        <f>'Rolling 12'!Q27</f>
        <v>2.8295454545454546</v>
      </c>
      <c r="R17" s="62">
        <f>'Rolling 12'!R27</f>
        <v>3.1221995926680246</v>
      </c>
      <c r="S17" s="62">
        <f>'Rolling 12'!S27</f>
        <v>3.176348547717842</v>
      </c>
      <c r="T17" s="62">
        <f>'Rolling 12'!T27</f>
        <v>3.217948717948718</v>
      </c>
      <c r="U17" s="62">
        <f>'Rolling 12'!U27</f>
        <v>3.3796909492273732</v>
      </c>
      <c r="V17" s="62">
        <f>'Rolling 12'!V27</f>
        <v>3.4481236203090506</v>
      </c>
      <c r="W17" s="62">
        <f>'Rolling 12'!W27</f>
        <v>3.546511627906977</v>
      </c>
      <c r="X17" s="62">
        <f>'Rolling 12'!X27</f>
        <v>3.7819905213270144</v>
      </c>
      <c r="Y17" s="62">
        <f>'Rolling 12'!Y27</f>
        <v>3.894484412470024</v>
      </c>
      <c r="Z17" s="62">
        <f>'Rolling 12'!Z27</f>
        <v>3.9034653465346536</v>
      </c>
      <c r="AA17" s="62">
        <f>'Rolling 12'!AA27</f>
        <v>3.2825</v>
      </c>
      <c r="AB17" s="62">
        <f>'Rolling 12'!AB27</f>
        <v>3.2141057934508814</v>
      </c>
      <c r="AC17" s="62">
        <f>'Rolling 12'!AC27</f>
        <v>3.5586034912718203</v>
      </c>
      <c r="AD17" s="62">
        <f>'Rolling 12'!AD27</f>
        <v>3.595061728395062</v>
      </c>
      <c r="AE17" s="62">
        <f>'Rolling 12'!AE27</f>
        <v>3.4387254901960786</v>
      </c>
      <c r="AF17" s="62">
        <f>'Rolling 12'!AF27</f>
        <v>3.3349514563106797</v>
      </c>
      <c r="AG17" s="62">
        <f>'Rolling 12'!AG27</f>
        <v>3.3445783132530122</v>
      </c>
      <c r="AH17" s="62">
        <f>'Rolling 12'!AH27</f>
        <v>3.60381861575179</v>
      </c>
      <c r="AI17" s="62">
        <f>'Rolling 12'!AI27</f>
        <v>3.705463182897862</v>
      </c>
      <c r="AJ17" s="62">
        <f>'Rolling 12'!AJ27</f>
        <v>3.566666666666667</v>
      </c>
      <c r="AK17" s="62">
        <f>'Rolling 12'!AK27</f>
        <v>3.491686460807601</v>
      </c>
      <c r="AL17" s="62">
        <f>'Rolling 12'!AL27</f>
        <v>3.545238095238095</v>
      </c>
      <c r="AM17" s="62">
        <f>'Rolling 12'!AM27</f>
        <v>3.4046824944389984</v>
      </c>
      <c r="AN17" s="62">
        <f>'Rolling 12'!AN27</f>
        <v>3.544042775928441</v>
      </c>
      <c r="AO17" s="62">
        <f>'Rolling 12'!AO27</f>
        <v>3.998541884338283</v>
      </c>
      <c r="AP17" s="62">
        <f>'Rolling 12'!AP27</f>
        <v>3.9177488583302265</v>
      </c>
      <c r="AQ17" s="62">
        <f>'Rolling 12'!AQ27</f>
        <v>3.9804309572627137</v>
      </c>
      <c r="AR17" s="62">
        <f>'Rolling 12'!AR27</f>
        <v>3.841965600263349</v>
      </c>
      <c r="AS17" s="62">
        <f>'Rolling 12'!AS27</f>
        <v>3.7662013327924293</v>
      </c>
      <c r="AT17" s="62">
        <f>'Rolling 12'!AT27</f>
        <v>3.5512346590990713</v>
      </c>
      <c r="AU17" s="62">
        <f>'Rolling 12'!AU27</f>
        <v>3.557526231578518</v>
      </c>
      <c r="AV17" s="62">
        <f>'Rolling 12'!AV27</f>
        <v>3.4426074153220023</v>
      </c>
      <c r="AW17" s="62">
        <f>'Rolling 12'!AW27</f>
        <v>3.4723765972246103</v>
      </c>
      <c r="AX17" s="62">
        <f>'Rolling 12'!AX27</f>
        <v>3.5000000000000004</v>
      </c>
      <c r="AY17" s="62"/>
      <c r="AZ17" s="62"/>
    </row>
    <row r="18" spans="1:52" ht="12.75">
      <c r="A18" t="s">
        <v>160</v>
      </c>
      <c r="B18" s="18">
        <f>'Rolling 12'!B52</f>
        <v>1.9385542168674699</v>
      </c>
      <c r="C18" s="18">
        <f>'Rolling 12'!C52</f>
        <v>1.9120750293083235</v>
      </c>
      <c r="D18" s="18">
        <f>'Rolling 12'!D52</f>
        <v>1.8658256880733946</v>
      </c>
      <c r="E18" s="18">
        <f>'Rolling 12'!E52</f>
        <v>1.9565701559020046</v>
      </c>
      <c r="F18" s="18">
        <f>'Rolling 12'!F52</f>
        <v>1.920995670995671</v>
      </c>
      <c r="G18" s="18">
        <f>'Rolling 12'!G52</f>
        <v>1.9224318658280923</v>
      </c>
      <c r="H18" s="18">
        <f>'Rolling 12'!H52</f>
        <v>2.10351966873706</v>
      </c>
      <c r="I18" s="18">
        <f>'Rolling 12'!I52</f>
        <v>1.9255533199195172</v>
      </c>
      <c r="J18" s="18">
        <f>'Rolling 12'!J52</f>
        <v>1.9548133595284873</v>
      </c>
      <c r="K18" s="18">
        <f>'Rolling 12'!K52</f>
        <v>1.8181818181818181</v>
      </c>
      <c r="L18" s="18">
        <f>'Rolling 12'!L52</f>
        <v>1.8848425196850394</v>
      </c>
      <c r="M18" s="18">
        <f>'Rolling 12'!M52</f>
        <v>2.007920792079208</v>
      </c>
      <c r="N18" s="18">
        <f>'Rolling 12'!N52</f>
        <v>1.8304093567251463</v>
      </c>
      <c r="O18" s="18">
        <f>'Rolling 12'!O52</f>
        <v>2.1172545281220208</v>
      </c>
      <c r="P18" s="18">
        <f>'Rolling 12'!P52</f>
        <v>2.1510516252390057</v>
      </c>
      <c r="Q18" s="18">
        <f>'Rolling 12'!Q52</f>
        <v>1.9288461538461539</v>
      </c>
      <c r="R18" s="18">
        <f>'Rolling 12'!R52</f>
        <v>2.00968992248062</v>
      </c>
      <c r="S18" s="18">
        <f>'Rolling 12'!S52</f>
        <v>2.027424094025465</v>
      </c>
      <c r="T18" s="18">
        <f>'Rolling 12'!T52</f>
        <v>2.0277227722772277</v>
      </c>
      <c r="U18" s="18">
        <f>'Rolling 12'!U52</f>
        <v>2.0823293172690764</v>
      </c>
      <c r="V18" s="18">
        <f>'Rolling 12'!V52</f>
        <v>2.0851272015655575</v>
      </c>
      <c r="W18" s="18">
        <f>'Rolling 12'!W52</f>
        <v>2.1128048780487805</v>
      </c>
      <c r="X18" s="18">
        <f>'Rolling 12'!X52</f>
        <v>2.1906693711967544</v>
      </c>
      <c r="Y18" s="18">
        <f>'Rolling 12'!Y52</f>
        <v>2.2266260162601625</v>
      </c>
      <c r="Z18" s="18">
        <f>'Rolling 12'!Z52</f>
        <v>2.2206035379812694</v>
      </c>
      <c r="AA18" s="18">
        <f>'Rolling 12'!AA52</f>
        <v>1.990238611713666</v>
      </c>
      <c r="AB18" s="18">
        <f>'Rolling 12'!AB52</f>
        <v>1.9543973941368078</v>
      </c>
      <c r="AC18" s="18">
        <f>'Rolling 12'!AC52</f>
        <v>2.1008583690987126</v>
      </c>
      <c r="AD18" s="18">
        <f>'Rolling 12'!AD52</f>
        <v>2.1511500547645124</v>
      </c>
      <c r="AE18" s="18">
        <f>'Rolling 12'!AE52</f>
        <v>2.092206366630077</v>
      </c>
      <c r="AF18" s="18">
        <f>'Rolling 12'!AF52</f>
        <v>2.0548245614035086</v>
      </c>
      <c r="AG18" s="18">
        <f>'Rolling 12'!AG52</f>
        <v>2.0799112097669257</v>
      </c>
      <c r="AH18" s="18">
        <f>'Rolling 12'!AH52</f>
        <v>2.2286036036036037</v>
      </c>
      <c r="AI18" s="18">
        <f>'Rolling 12'!AI52</f>
        <v>2.285553047404063</v>
      </c>
      <c r="AJ18" s="18">
        <f>'Rolling 12'!AJ52</f>
        <v>2.2334096109839816</v>
      </c>
      <c r="AK18" s="18">
        <f>'Rolling 12'!AK52</f>
        <v>2.2071346375143843</v>
      </c>
      <c r="AL18" s="18">
        <f>'Rolling 12'!AL52</f>
        <v>2.218928164196123</v>
      </c>
      <c r="AM18" s="18">
        <f>'Rolling 12'!AM52</f>
        <v>2.136381513386138</v>
      </c>
      <c r="AN18" s="18">
        <f>'Rolling 12'!AN52</f>
        <v>2.198697466580568</v>
      </c>
      <c r="AO18" s="18">
        <f>'Rolling 12'!AO52</f>
        <v>2.3613806066943104</v>
      </c>
      <c r="AP18" s="18">
        <f>'Rolling 12'!AP52</f>
        <v>2.3377154252803285</v>
      </c>
      <c r="AQ18" s="18">
        <f>'Rolling 12'!AQ52</f>
        <v>2.4001553918833034</v>
      </c>
      <c r="AR18" s="18">
        <f>'Rolling 12'!AR52</f>
        <v>2.361058401265139</v>
      </c>
      <c r="AS18" s="18">
        <f>'Rolling 12'!AS52</f>
        <v>2.3387563562782994</v>
      </c>
      <c r="AT18" s="18">
        <f>'Rolling 12'!AT52</f>
        <v>2.2532671783272047</v>
      </c>
      <c r="AU18" s="18">
        <f>'Rolling 12'!AU52</f>
        <v>2.262149000005672</v>
      </c>
      <c r="AV18" s="18">
        <f>'Rolling 12'!AV52</f>
        <v>2.2028701534404216</v>
      </c>
      <c r="AW18" s="18">
        <f>'Rolling 12'!AW52</f>
        <v>2.2030909670166436</v>
      </c>
      <c r="AX18" s="18">
        <f>'Rolling 12'!AX52</f>
        <v>2.2037037037037037</v>
      </c>
      <c r="AY18" s="18"/>
      <c r="AZ18" s="18"/>
    </row>
    <row r="19" spans="1:52" ht="12.75">
      <c r="A19" t="s">
        <v>161</v>
      </c>
      <c r="B19" s="65">
        <f>'Rolling 12'!B38</f>
        <v>0.026421638822593477</v>
      </c>
      <c r="C19" s="65">
        <f>'Rolling 12'!C38</f>
        <v>0.022306201550387598</v>
      </c>
      <c r="D19" s="65">
        <f>'Rolling 12'!D38</f>
        <v>0.010020288724151385</v>
      </c>
      <c r="E19" s="65">
        <f>'Rolling 12'!E38</f>
        <v>0.041979166666666665</v>
      </c>
      <c r="F19" s="65">
        <f>'Rolling 12'!F38</f>
        <v>0.0425336056442629</v>
      </c>
      <c r="G19" s="65">
        <f>'Rolling 12'!G38</f>
        <v>0.054587783467446964</v>
      </c>
      <c r="H19" s="65">
        <f>'Rolling 12'!H38</f>
        <v>0.10060027192386131</v>
      </c>
      <c r="I19" s="65">
        <f>'Rolling 12'!I38</f>
        <v>0.05840704225352113</v>
      </c>
      <c r="J19" s="65">
        <f>'Rolling 12'!J38</f>
        <v>0.0713592032967033</v>
      </c>
      <c r="K19" s="65">
        <f>'Rolling 12'!K38</f>
        <v>0.03223287184948527</v>
      </c>
      <c r="L19" s="65">
        <f>'Rolling 12'!L38</f>
        <v>0.04348070796460177</v>
      </c>
      <c r="M19" s="65">
        <f>'Rolling 12'!M38</f>
        <v>0.08545953456061132</v>
      </c>
      <c r="N19" s="65">
        <f>'Rolling 12'!N38</f>
        <v>0.034430361618331545</v>
      </c>
      <c r="O19" s="65">
        <f>'Rolling 12'!O38</f>
        <v>0.08283658458586504</v>
      </c>
      <c r="P19" s="65">
        <f>'Rolling 12'!P38</f>
        <v>0.08805064485687324</v>
      </c>
      <c r="Q19" s="65">
        <f>'Rolling 12'!Q38</f>
        <v>0.013157317859445518</v>
      </c>
      <c r="R19" s="65">
        <f>'Rolling 12'!R38</f>
        <v>0.03060929217337075</v>
      </c>
      <c r="S19" s="65">
        <f>'Rolling 12'!S38</f>
        <v>0.028186881188118813</v>
      </c>
      <c r="T19" s="65">
        <f>'Rolling 12'!T38</f>
        <v>0.035429636533084806</v>
      </c>
      <c r="U19" s="65">
        <f>'Rolling 12'!U38</f>
        <v>0.03992176870748299</v>
      </c>
      <c r="V19" s="65">
        <f>'Rolling 12'!V38</f>
        <v>0.046111348383160465</v>
      </c>
      <c r="W19" s="65">
        <f>'Rolling 12'!W38</f>
        <v>0.045567820392890555</v>
      </c>
      <c r="X19" s="65">
        <f>'Rolling 12'!X38</f>
        <v>0.06708075864178648</v>
      </c>
      <c r="Y19" s="65">
        <f>'Rolling 12'!Y38</f>
        <v>0.06932054380664653</v>
      </c>
      <c r="Z19" s="65">
        <f>'Rolling 12'!Z38</f>
        <v>0.07228544834005585</v>
      </c>
      <c r="AA19" s="65">
        <f>'Rolling 12'!AA38</f>
        <v>0.04035893902859111</v>
      </c>
      <c r="AB19" s="65">
        <f>'Rolling 12'!AB38</f>
        <v>0.03444012605042017</v>
      </c>
      <c r="AC19" s="65">
        <f>'Rolling 12'!AC38</f>
        <v>0.08931640759930916</v>
      </c>
      <c r="AD19" s="65">
        <f>'Rolling 12'!AD38</f>
        <v>0.1114599510318293</v>
      </c>
      <c r="AE19" s="65">
        <f>'Rolling 12'!AE38</f>
        <v>0.09511611289746338</v>
      </c>
      <c r="AF19" s="65">
        <f>'Rolling 12'!AF38</f>
        <v>0.08329341099381143</v>
      </c>
      <c r="AG19" s="65">
        <f>'Rolling 12'!AG38</f>
        <v>0.08680749448934606</v>
      </c>
      <c r="AH19" s="65">
        <f>'Rolling 12'!AH38</f>
        <v>0.12422669491525423</v>
      </c>
      <c r="AI19" s="65">
        <f>'Rolling 12'!AI38</f>
        <v>0.1306982638888889</v>
      </c>
      <c r="AJ19" s="65">
        <f>'Rolling 12'!AJ38</f>
        <v>0.10952684323550466</v>
      </c>
      <c r="AK19" s="65">
        <f>'Rolling 12'!AK38</f>
        <v>0.10665415162454873</v>
      </c>
      <c r="AL19" s="65">
        <f>'Rolling 12'!AL38</f>
        <v>0.1172714948269711</v>
      </c>
      <c r="AM19" s="65">
        <f>'Rolling 12'!AM38</f>
        <v>0.10961080131724564</v>
      </c>
      <c r="AN19" s="65">
        <f>'Rolling 12'!AN38</f>
        <v>0.11907954280069444</v>
      </c>
      <c r="AO19" s="65">
        <f>'Rolling 12'!AO38</f>
        <v>0.14360860829359642</v>
      </c>
      <c r="AP19" s="65">
        <f>'Rolling 12'!AP38</f>
        <v>0.13082944152276016</v>
      </c>
      <c r="AQ19" s="65">
        <f>'Rolling 12'!AQ38</f>
        <v>0.14862782733504815</v>
      </c>
      <c r="AR19" s="65">
        <f>'Rolling 12'!AR38</f>
        <v>0.1464777310263109</v>
      </c>
      <c r="AS19" s="65">
        <f>'Rolling 12'!AS38</f>
        <v>0.14897171601995265</v>
      </c>
      <c r="AT19" s="65">
        <f>'Rolling 12'!AT38</f>
        <v>0.13716696468947037</v>
      </c>
      <c r="AU19" s="65">
        <f>'Rolling 12'!AU38</f>
        <v>0.14647680707787192</v>
      </c>
      <c r="AV19" s="65">
        <f>'Rolling 12'!AV38</f>
        <v>0.1378957479961956</v>
      </c>
      <c r="AW19" s="65">
        <f>'Rolling 12'!AW38</f>
        <v>0.13631917832163776</v>
      </c>
      <c r="AX19" s="65">
        <f>'Rolling 12'!AX38</f>
        <v>0.13006078336451715</v>
      </c>
      <c r="AY19" s="65"/>
      <c r="AZ19" s="65"/>
    </row>
    <row r="26" spans="2:13" ht="12.75">
      <c r="B26" s="2" t="s">
        <v>176</v>
      </c>
      <c r="C26" s="2" t="s">
        <v>177</v>
      </c>
      <c r="D26" s="2" t="s">
        <v>178</v>
      </c>
      <c r="E26" s="2" t="s">
        <v>179</v>
      </c>
      <c r="F26" s="2" t="s">
        <v>180</v>
      </c>
      <c r="G26" s="2" t="s">
        <v>181</v>
      </c>
      <c r="H26" s="2" t="s">
        <v>182</v>
      </c>
      <c r="I26" s="2" t="s">
        <v>183</v>
      </c>
      <c r="J26" s="2" t="s">
        <v>184</v>
      </c>
      <c r="K26" s="2" t="s">
        <v>185</v>
      </c>
      <c r="L26" s="2" t="s">
        <v>186</v>
      </c>
      <c r="M26" s="2" t="s">
        <v>187</v>
      </c>
    </row>
    <row r="27" spans="1:13" ht="12.75">
      <c r="A27">
        <v>2008</v>
      </c>
      <c r="B27" s="66">
        <f>'PL by Month'!B4</f>
        <v>0</v>
      </c>
      <c r="C27" s="66">
        <f>'PL by Month'!C4</f>
        <v>0</v>
      </c>
      <c r="D27" s="66">
        <f>'PL by Month'!D4</f>
        <v>0</v>
      </c>
      <c r="E27" s="66">
        <f>'PL by Month'!E4</f>
        <v>0</v>
      </c>
      <c r="F27" s="66">
        <f>'PL by Month'!F4</f>
        <v>0</v>
      </c>
      <c r="G27" s="66">
        <f>'PL by Month'!G4</f>
        <v>0</v>
      </c>
      <c r="H27" s="66">
        <f>'PL by Month'!H4</f>
        <v>0</v>
      </c>
      <c r="I27" s="66">
        <f>'PL by Month'!I4</f>
        <v>0</v>
      </c>
      <c r="J27" s="66">
        <f>'PL by Month'!J4</f>
        <v>0</v>
      </c>
      <c r="K27" s="66">
        <f>'PL by Month'!K4</f>
        <v>0</v>
      </c>
      <c r="L27" s="66">
        <f>'PL by Month'!L4</f>
        <v>0</v>
      </c>
      <c r="M27" s="66">
        <f>'PL by Month'!M4</f>
        <v>0</v>
      </c>
    </row>
    <row r="28" spans="1:13" ht="12.75">
      <c r="A28">
        <v>2009</v>
      </c>
      <c r="B28" s="66">
        <f>'PL by Month'!N4</f>
        <v>0</v>
      </c>
      <c r="C28" s="66">
        <f>'PL by Month'!O4</f>
        <v>0</v>
      </c>
      <c r="D28" s="66">
        <f>'PL by Month'!P4</f>
        <v>0</v>
      </c>
      <c r="E28" s="66">
        <f>'PL by Month'!Q4</f>
        <v>0</v>
      </c>
      <c r="F28" s="66">
        <f>'PL by Month'!R4</f>
        <v>0</v>
      </c>
      <c r="G28" s="66">
        <f>'PL by Month'!S4</f>
        <v>0</v>
      </c>
      <c r="H28" s="66">
        <f>'PL by Month'!T4</f>
        <v>0</v>
      </c>
      <c r="I28" s="66">
        <f>'PL by Month'!U4</f>
        <v>0</v>
      </c>
      <c r="J28" s="66">
        <f>'PL by Month'!V4</f>
        <v>0</v>
      </c>
      <c r="K28" s="66">
        <f>'PL by Month'!W4</f>
        <v>0</v>
      </c>
      <c r="L28" s="66">
        <f>'PL by Month'!X4</f>
        <v>0</v>
      </c>
      <c r="M28" s="66">
        <f>'PL by Month'!Y4</f>
        <v>0</v>
      </c>
    </row>
    <row r="29" spans="1:13" ht="12.75">
      <c r="A29">
        <v>2010</v>
      </c>
      <c r="B29" s="66">
        <f>'PL by Month'!Z4</f>
        <v>0</v>
      </c>
      <c r="C29" s="66">
        <f>'PL by Month'!AA4</f>
        <v>0</v>
      </c>
      <c r="D29" s="66">
        <f>'PL by Month'!AB4</f>
        <v>0</v>
      </c>
      <c r="E29" s="66">
        <f>'PL by Month'!AC4</f>
        <v>0</v>
      </c>
      <c r="F29" s="66">
        <f>'PL by Month'!AD4</f>
        <v>0</v>
      </c>
      <c r="G29" s="66">
        <f>'PL by Month'!AE4</f>
        <v>0</v>
      </c>
      <c r="H29" s="66">
        <f>'PL by Month'!AF4</f>
        <v>0</v>
      </c>
      <c r="I29" s="66">
        <f>'PL by Month'!AG4</f>
        <v>0</v>
      </c>
      <c r="J29" s="66">
        <f>'PL by Month'!AH4</f>
        <v>0</v>
      </c>
      <c r="K29" s="66">
        <f>'PL by Month'!AI4</f>
        <v>0</v>
      </c>
      <c r="L29" s="66">
        <f>'PL by Month'!AJ4</f>
        <v>0</v>
      </c>
      <c r="M29" s="66">
        <f>'PL by Month'!AK4</f>
        <v>0</v>
      </c>
    </row>
    <row r="30" spans="1:13" ht="12.75">
      <c r="A30">
        <v>2011</v>
      </c>
      <c r="B30" s="4">
        <f>'PL by Month'!AL4</f>
        <v>0</v>
      </c>
      <c r="C30" s="4">
        <f>'PL by Month'!AM4</f>
        <v>0</v>
      </c>
      <c r="D30" s="4">
        <f>'PL by Month'!AN4</f>
        <v>0</v>
      </c>
      <c r="E30" s="4">
        <f>'PL by Month'!AO4</f>
        <v>0</v>
      </c>
      <c r="F30" s="4">
        <f>'PL by Month'!AP4</f>
        <v>0</v>
      </c>
      <c r="G30" s="4">
        <f>'PL by Month'!AQ4</f>
        <v>0</v>
      </c>
      <c r="H30" s="4">
        <f>'PL by Month'!AR4</f>
        <v>0</v>
      </c>
      <c r="I30" s="4">
        <f>'PL by Month'!AS4</f>
        <v>0</v>
      </c>
      <c r="J30" s="4">
        <f>'PL by Month'!AT4</f>
        <v>0</v>
      </c>
      <c r="K30" s="4">
        <f>'PL by Month'!AU4</f>
        <v>0</v>
      </c>
      <c r="L30" s="4">
        <f>'PL by Month'!AV4</f>
        <v>0</v>
      </c>
      <c r="M30" s="4">
        <f>'PL by Month'!AW4</f>
        <v>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Crabtree Rowe &amp; Berger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Holland</dc:creator>
  <cp:keywords/>
  <dc:description/>
  <cp:lastModifiedBy>Jennifer Sutton</cp:lastModifiedBy>
  <cp:lastPrinted>2011-04-12T23:49:15Z</cp:lastPrinted>
  <dcterms:created xsi:type="dcterms:W3CDTF">2010-10-20T14:37:07Z</dcterms:created>
  <dcterms:modified xsi:type="dcterms:W3CDTF">2012-12-06T20:06:44Z</dcterms:modified>
  <cp:category/>
  <cp:version/>
  <cp:contentType/>
  <cp:contentStatus/>
</cp:coreProperties>
</file>